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hcmedu-my.sharepoint.com/personal/vinhcuong_hcm_edu_vn1/Documents/DuLieu/14. Tinh Gian Bien Che/"/>
    </mc:Choice>
  </mc:AlternateContent>
  <xr:revisionPtr revIDLastSave="4" documentId="13_ncr:1_{826A6939-64D1-41AF-A6BF-C20B2EFB6BEB}" xr6:coauthVersionLast="47" xr6:coauthVersionMax="47" xr10:uidLastSave="{64BD0BC6-44DB-4028-BD64-E64FCE182747}"/>
  <bookViews>
    <workbookView xWindow="-120" yWindow="-120" windowWidth="24240" windowHeight="13140" xr2:uid="{00000000-000D-0000-FFFF-FFFF00000000}"/>
  </bookViews>
  <sheets>
    <sheet name="CB,CC" sheetId="1" r:id="rId1"/>
    <sheet name="Dữ liệu nền" sheetId="2" r:id="rId2"/>
  </sheets>
  <definedNames>
    <definedName name="dc_1" localSheetId="1">'Dữ liệu nền'!$B$39</definedName>
    <definedName name="dc_2" localSheetId="1">'Dữ liệu nền'!$B$40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6" i="1" l="1"/>
  <c r="L55" i="1"/>
  <c r="I131" i="1"/>
  <c r="G131" i="1"/>
  <c r="G127" i="1"/>
  <c r="L129" i="1"/>
  <c r="L125" i="1"/>
  <c r="J125" i="1"/>
  <c r="F145" i="1"/>
  <c r="L145" i="1"/>
  <c r="I149" i="1" s="1"/>
  <c r="M61" i="1"/>
  <c r="K61" i="1"/>
  <c r="K139" i="1" l="1"/>
  <c r="I147" i="1"/>
  <c r="I47" i="1"/>
  <c r="I81" i="1"/>
  <c r="G79" i="1"/>
  <c r="G83" i="1" l="1"/>
  <c r="J7" i="1"/>
  <c r="K96" i="1" l="1"/>
  <c r="H94" i="1"/>
  <c r="I94" i="1"/>
  <c r="K94" i="1"/>
  <c r="H95" i="1"/>
  <c r="I95" i="1"/>
  <c r="K95" i="1"/>
  <c r="H96" i="1"/>
  <c r="K92" i="1"/>
  <c r="K93" i="1"/>
  <c r="K90" i="1"/>
  <c r="K91" i="1"/>
  <c r="I89" i="1"/>
  <c r="I90" i="1"/>
  <c r="I91" i="1"/>
  <c r="I92" i="1"/>
  <c r="I93" i="1"/>
  <c r="H89" i="1"/>
  <c r="H90" i="1"/>
  <c r="H91" i="1"/>
  <c r="H92" i="1"/>
  <c r="H93" i="1"/>
  <c r="H88" i="1"/>
  <c r="B88" i="1"/>
  <c r="I88" i="1" s="1"/>
  <c r="L19" i="1"/>
  <c r="J94" i="1" l="1"/>
  <c r="L94" i="1" s="1"/>
  <c r="I96" i="1"/>
  <c r="J96" i="1" s="1"/>
  <c r="J95" i="1"/>
  <c r="L95" i="1" s="1"/>
  <c r="J88" i="1"/>
  <c r="K89" i="1"/>
  <c r="K97" i="1" s="1"/>
  <c r="J93" i="1"/>
  <c r="L93" i="1" s="1"/>
  <c r="J92" i="1"/>
  <c r="L92" i="1" s="1"/>
  <c r="J91" i="1"/>
  <c r="L91" i="1" s="1"/>
  <c r="J90" i="1"/>
  <c r="L90" i="1" s="1"/>
  <c r="J89" i="1"/>
  <c r="L89" i="1" s="1"/>
  <c r="L88" i="1" l="1"/>
  <c r="L97" i="1" s="1"/>
  <c r="L98" i="1" s="1"/>
  <c r="M48" i="2" l="1"/>
  <c r="L48" i="2"/>
  <c r="J48" i="2"/>
  <c r="M47" i="2"/>
  <c r="L47" i="2"/>
  <c r="K47" i="2"/>
  <c r="J47" i="2"/>
  <c r="M46" i="2"/>
  <c r="L46" i="2"/>
  <c r="K46" i="2"/>
  <c r="J46" i="2"/>
  <c r="M45" i="2"/>
  <c r="L45" i="2"/>
  <c r="K45" i="2"/>
  <c r="J45" i="2"/>
  <c r="M44" i="2"/>
  <c r="L44" i="2"/>
  <c r="K44" i="2"/>
  <c r="J44" i="2"/>
  <c r="M43" i="2"/>
  <c r="L43" i="2"/>
  <c r="K43" i="2"/>
  <c r="J43" i="2"/>
  <c r="M42" i="2"/>
  <c r="L42" i="2"/>
  <c r="K42" i="2"/>
  <c r="J42" i="2"/>
  <c r="M41" i="2"/>
  <c r="L41" i="2"/>
  <c r="K41" i="2"/>
  <c r="J41" i="2"/>
  <c r="M40" i="2"/>
  <c r="L40" i="2"/>
  <c r="K40" i="2"/>
  <c r="J40" i="2"/>
  <c r="M39" i="2"/>
  <c r="L39" i="2"/>
  <c r="K39" i="2"/>
  <c r="J39" i="2"/>
  <c r="M38" i="2"/>
  <c r="L38" i="2"/>
  <c r="K38" i="2"/>
  <c r="J38" i="2"/>
  <c r="M37" i="2"/>
  <c r="L37" i="2"/>
  <c r="K37" i="2"/>
  <c r="J37" i="2"/>
  <c r="M36" i="2"/>
  <c r="L36" i="2"/>
  <c r="K36" i="2"/>
  <c r="J36" i="2"/>
  <c r="M35" i="2"/>
  <c r="L35" i="2"/>
  <c r="K35" i="2"/>
  <c r="J35" i="2"/>
  <c r="M34" i="2"/>
  <c r="L34" i="2"/>
  <c r="K34" i="2"/>
  <c r="J34" i="2"/>
  <c r="L33" i="2"/>
  <c r="J33" i="2"/>
  <c r="L32" i="2"/>
  <c r="K32" i="2"/>
  <c r="J32" i="2"/>
  <c r="L31" i="2"/>
  <c r="K31" i="2"/>
  <c r="J31" i="2"/>
  <c r="L30" i="2"/>
  <c r="K30" i="2"/>
  <c r="J30" i="2"/>
  <c r="L29" i="2"/>
  <c r="K29" i="2"/>
  <c r="J29" i="2"/>
  <c r="L28" i="2"/>
  <c r="K28" i="2"/>
  <c r="J28" i="2"/>
  <c r="L27" i="2"/>
  <c r="K27" i="2"/>
  <c r="J27" i="2"/>
  <c r="L26" i="2"/>
  <c r="K26" i="2"/>
  <c r="J26" i="2"/>
  <c r="N25" i="2"/>
  <c r="N48" i="2" s="1"/>
  <c r="O24" i="2"/>
  <c r="V24" i="2" s="1"/>
  <c r="N24" i="2"/>
  <c r="U24" i="2" s="1"/>
  <c r="O23" i="2"/>
  <c r="O46" i="2" s="1"/>
  <c r="N23" i="2"/>
  <c r="N46" i="2" s="1"/>
  <c r="O22" i="2"/>
  <c r="V22" i="2" s="1"/>
  <c r="N22" i="2"/>
  <c r="S22" i="2" s="1"/>
  <c r="O21" i="2"/>
  <c r="O44" i="2" s="1"/>
  <c r="N21" i="2"/>
  <c r="U21" i="2" s="1"/>
  <c r="O20" i="2"/>
  <c r="V20" i="2" s="1"/>
  <c r="N20" i="2"/>
  <c r="S20" i="2" s="1"/>
  <c r="O19" i="2"/>
  <c r="O42" i="2" s="1"/>
  <c r="N19" i="2"/>
  <c r="U19" i="2" s="1"/>
  <c r="O18" i="2"/>
  <c r="V18" i="2" s="1"/>
  <c r="N18" i="2"/>
  <c r="U18" i="2" s="1"/>
  <c r="S17" i="2"/>
  <c r="O17" i="2"/>
  <c r="T17" i="2" s="1"/>
  <c r="N17" i="2"/>
  <c r="N40" i="2" s="1"/>
  <c r="O16" i="2"/>
  <c r="V16" i="2" s="1"/>
  <c r="N16" i="2"/>
  <c r="S16" i="2" s="1"/>
  <c r="O15" i="2"/>
  <c r="T15" i="2" s="1"/>
  <c r="N15" i="2"/>
  <c r="U15" i="2" s="1"/>
  <c r="O14" i="2"/>
  <c r="V14" i="2" s="1"/>
  <c r="N14" i="2"/>
  <c r="U14" i="2" s="1"/>
  <c r="O13" i="2"/>
  <c r="T13" i="2" s="1"/>
  <c r="N13" i="2"/>
  <c r="N36" i="2" s="1"/>
  <c r="O12" i="2"/>
  <c r="V12" i="2" s="1"/>
  <c r="N12" i="2"/>
  <c r="S12" i="2" s="1"/>
  <c r="O11" i="2"/>
  <c r="T11" i="2" s="1"/>
  <c r="N11" i="2"/>
  <c r="U11" i="2" s="1"/>
  <c r="N10" i="2"/>
  <c r="U10" i="2" s="1"/>
  <c r="O9" i="2"/>
  <c r="O32" i="2" s="1"/>
  <c r="N9" i="2"/>
  <c r="U9" i="2" s="1"/>
  <c r="O8" i="2"/>
  <c r="O31" i="2" s="1"/>
  <c r="N8" i="2"/>
  <c r="N31" i="2" s="1"/>
  <c r="O7" i="2"/>
  <c r="V7" i="2" s="1"/>
  <c r="N7" i="2"/>
  <c r="U7" i="2" s="1"/>
  <c r="O6" i="2"/>
  <c r="O29" i="2" s="1"/>
  <c r="N6" i="2"/>
  <c r="S6" i="2" s="1"/>
  <c r="S5" i="2"/>
  <c r="O5" i="2"/>
  <c r="O28" i="2" s="1"/>
  <c r="N5" i="2"/>
  <c r="U5" i="2" s="1"/>
  <c r="O4" i="2"/>
  <c r="T4" i="2" s="1"/>
  <c r="N4" i="2"/>
  <c r="N27" i="2" s="1"/>
  <c r="S3" i="2"/>
  <c r="O3" i="2"/>
  <c r="V3" i="2" s="1"/>
  <c r="N3" i="2"/>
  <c r="U3" i="2" s="1"/>
  <c r="U25" i="2" l="1"/>
  <c r="T9" i="2"/>
  <c r="T5" i="2"/>
  <c r="N33" i="2"/>
  <c r="S33" i="2" s="1"/>
  <c r="O39" i="2"/>
  <c r="T39" i="2" s="1"/>
  <c r="S11" i="2"/>
  <c r="T3" i="2"/>
  <c r="S21" i="2"/>
  <c r="O36" i="2"/>
  <c r="J27" i="1"/>
  <c r="S15" i="2"/>
  <c r="S7" i="2"/>
  <c r="N32" i="2"/>
  <c r="O38" i="2"/>
  <c r="S19" i="2"/>
  <c r="O35" i="2"/>
  <c r="T35" i="2" s="1"/>
  <c r="T7" i="2"/>
  <c r="S10" i="2"/>
  <c r="S13" i="2"/>
  <c r="N28" i="2"/>
  <c r="N30" i="2"/>
  <c r="S30" i="2" s="1"/>
  <c r="S23" i="2"/>
  <c r="N26" i="2"/>
  <c r="U26" i="2" s="1"/>
  <c r="O34" i="2"/>
  <c r="S9" i="2"/>
  <c r="O37" i="2"/>
  <c r="T37" i="2" s="1"/>
  <c r="O40" i="2"/>
  <c r="V44" i="2"/>
  <c r="T44" i="2"/>
  <c r="U46" i="2"/>
  <c r="S46" i="2"/>
  <c r="T28" i="2"/>
  <c r="V28" i="2"/>
  <c r="U40" i="2"/>
  <c r="S40" i="2"/>
  <c r="V46" i="2"/>
  <c r="T46" i="2"/>
  <c r="U48" i="2"/>
  <c r="S48" i="2"/>
  <c r="V31" i="2"/>
  <c r="T31" i="2"/>
  <c r="V29" i="2"/>
  <c r="T29" i="2"/>
  <c r="T32" i="2"/>
  <c r="V32" i="2"/>
  <c r="U27" i="2"/>
  <c r="S27" i="2"/>
  <c r="U31" i="2"/>
  <c r="S31" i="2"/>
  <c r="U36" i="2"/>
  <c r="S36" i="2"/>
  <c r="V42" i="2"/>
  <c r="T42" i="2"/>
  <c r="V4" i="2"/>
  <c r="V5" i="2"/>
  <c r="T6" i="2"/>
  <c r="V9" i="2"/>
  <c r="U13" i="2"/>
  <c r="S14" i="2"/>
  <c r="U17" i="2"/>
  <c r="S18" i="2"/>
  <c r="U23" i="2"/>
  <c r="S24" i="2"/>
  <c r="O27" i="2"/>
  <c r="U4" i="2"/>
  <c r="U6" i="2"/>
  <c r="U8" i="2"/>
  <c r="V11" i="2"/>
  <c r="T12" i="2"/>
  <c r="V13" i="2"/>
  <c r="T14" i="2"/>
  <c r="V15" i="2"/>
  <c r="T16" i="2"/>
  <c r="V17" i="2"/>
  <c r="T18" i="2"/>
  <c r="V19" i="2"/>
  <c r="T20" i="2"/>
  <c r="V21" i="2"/>
  <c r="T22" i="2"/>
  <c r="V23" i="2"/>
  <c r="T24" i="2"/>
  <c r="S25" i="2"/>
  <c r="N29" i="2"/>
  <c r="N35" i="2"/>
  <c r="N37" i="2"/>
  <c r="N39" i="2"/>
  <c r="N41" i="2"/>
  <c r="N43" i="2"/>
  <c r="N45" i="2"/>
  <c r="N47" i="2"/>
  <c r="V8" i="2"/>
  <c r="U12" i="2"/>
  <c r="U16" i="2"/>
  <c r="V35" i="2"/>
  <c r="V39" i="2"/>
  <c r="O41" i="2"/>
  <c r="O43" i="2"/>
  <c r="O45" i="2"/>
  <c r="O47" i="2"/>
  <c r="V6" i="2"/>
  <c r="U20" i="2"/>
  <c r="U22" i="2"/>
  <c r="S4" i="2"/>
  <c r="S8" i="2"/>
  <c r="T19" i="2"/>
  <c r="T21" i="2"/>
  <c r="T23" i="2"/>
  <c r="O26" i="2"/>
  <c r="O30" i="2"/>
  <c r="N34" i="2"/>
  <c r="N38" i="2"/>
  <c r="N42" i="2"/>
  <c r="N44" i="2"/>
  <c r="T8" i="2"/>
  <c r="V37" i="2" l="1"/>
  <c r="S26" i="2"/>
  <c r="U33" i="2"/>
  <c r="I133" i="1"/>
  <c r="G133" i="1"/>
  <c r="U32" i="2"/>
  <c r="S32" i="2"/>
  <c r="U28" i="2"/>
  <c r="S28" i="2"/>
  <c r="V40" i="2"/>
  <c r="T40" i="2"/>
  <c r="U30" i="2"/>
  <c r="V36" i="2"/>
  <c r="T36" i="2"/>
  <c r="V34" i="2"/>
  <c r="T34" i="2"/>
  <c r="V38" i="2"/>
  <c r="T38" i="2"/>
  <c r="U38" i="2"/>
  <c r="S38" i="2"/>
  <c r="U42" i="2"/>
  <c r="S42" i="2"/>
  <c r="V26" i="2"/>
  <c r="T26" i="2"/>
  <c r="T43" i="2"/>
  <c r="V43" i="2"/>
  <c r="S47" i="2"/>
  <c r="U47" i="2"/>
  <c r="S39" i="2"/>
  <c r="U39" i="2"/>
  <c r="T41" i="2"/>
  <c r="V41" i="2"/>
  <c r="S45" i="2"/>
  <c r="U45" i="2"/>
  <c r="S37" i="2"/>
  <c r="U37" i="2"/>
  <c r="U34" i="2"/>
  <c r="S34" i="2"/>
  <c r="T47" i="2"/>
  <c r="V47" i="2"/>
  <c r="S43" i="2"/>
  <c r="U43" i="2"/>
  <c r="S35" i="2"/>
  <c r="U35" i="2"/>
  <c r="T27" i="2"/>
  <c r="V27" i="2"/>
  <c r="U44" i="2"/>
  <c r="S44" i="2"/>
  <c r="V30" i="2"/>
  <c r="T30" i="2"/>
  <c r="T45" i="2"/>
  <c r="V45" i="2"/>
  <c r="S41" i="2"/>
  <c r="U41" i="2"/>
  <c r="S29" i="2"/>
  <c r="U29" i="2"/>
  <c r="J137" i="1" l="1"/>
  <c r="D135" i="1" s="1"/>
  <c r="E121" i="1" s="1"/>
  <c r="I23" i="1"/>
  <c r="G23" i="1"/>
  <c r="F29" i="1" l="1"/>
  <c r="H29" i="1"/>
  <c r="H31" i="1" l="1"/>
  <c r="L29" i="1"/>
  <c r="J110" i="1" s="1"/>
  <c r="L104" i="1" l="1"/>
  <c r="J102" i="1"/>
  <c r="H33" i="1"/>
  <c r="I106" i="1"/>
  <c r="K31" i="1"/>
  <c r="K119" i="1" l="1"/>
  <c r="F117" i="1"/>
  <c r="E100" i="1"/>
  <c r="E115" i="1" l="1"/>
</calcChain>
</file>

<file path=xl/sharedStrings.xml><?xml version="1.0" encoding="utf-8"?>
<sst xmlns="http://schemas.openxmlformats.org/spreadsheetml/2006/main" count="361" uniqueCount="207">
  <si>
    <t>TÊN CƠ QUAN, ĐƠN VỊ</t>
  </si>
  <si>
    <t>PHIẾU THẨM ĐỊNH TINH GIẢN BIÊN CHẾ</t>
  </si>
  <si>
    <t>Họ và tên:</t>
  </si>
  <si>
    <t>Giới tính:</t>
  </si>
  <si>
    <t>Nam</t>
  </si>
  <si>
    <t>Nữ</t>
  </si>
  <si>
    <t>Giới tính</t>
  </si>
  <si>
    <t>Trìinh độ:</t>
  </si>
  <si>
    <t>Trình độ</t>
  </si>
  <si>
    <t>12/12</t>
  </si>
  <si>
    <t>Sơ cấp</t>
  </si>
  <si>
    <t>Trung cấp</t>
  </si>
  <si>
    <t>Cao đẳng</t>
  </si>
  <si>
    <t>Đại học</t>
  </si>
  <si>
    <t>Thạc sĩ</t>
  </si>
  <si>
    <t>Tiến sĩ</t>
  </si>
  <si>
    <t>Chuyên ngành:</t>
  </si>
  <si>
    <t>Chức vụ:</t>
  </si>
  <si>
    <t>Đơn vị:</t>
  </si>
  <si>
    <t>Phân loại:</t>
  </si>
  <si>
    <t>Thống kê phân loại</t>
  </si>
  <si>
    <t>Cán bộ</t>
  </si>
  <si>
    <t>Công chức</t>
  </si>
  <si>
    <t>Viên chức</t>
  </si>
  <si>
    <t>Công chức cấp xã</t>
  </si>
  <si>
    <t>Cán bộ cấp xã</t>
  </si>
  <si>
    <t>Những người hoạt động không chuyên trách</t>
  </si>
  <si>
    <t>Người lao động</t>
  </si>
  <si>
    <t>Người làm việc tại các Hội đặc thù</t>
  </si>
  <si>
    <t>Doanh nghiệp</t>
  </si>
  <si>
    <t>Ngày, tháng, năm sinh:</t>
  </si>
  <si>
    <t>…Chọn …</t>
  </si>
  <si>
    <t>Số năm đóng BHXH:</t>
  </si>
  <si>
    <t>năm</t>
  </si>
  <si>
    <t>tháng</t>
  </si>
  <si>
    <t>Thời điểm TGBC:</t>
  </si>
  <si>
    <t>Độ tuổi tại thời điểm tinh giản biên chế:</t>
  </si>
  <si>
    <t>tuổi</t>
  </si>
  <si>
    <t>Độ tuổi nghỉ hưu theo quy định:</t>
  </si>
  <si>
    <t>Trong điều kiện</t>
  </si>
  <si>
    <t>Điều kiện</t>
  </si>
  <si>
    <t>Bình thường</t>
  </si>
  <si>
    <t>Độc hại</t>
  </si>
  <si>
    <t>Ngày, tháng, năm nghỉ hưu theo quy định:</t>
  </si>
  <si>
    <t>Tuổi nghỉ hưu</t>
  </si>
  <si>
    <t>STT</t>
  </si>
  <si>
    <t>Ngày tháng năm sinh</t>
  </si>
  <si>
    <t>Năm nghỉ hưu</t>
  </si>
  <si>
    <t>Ngày tháng năm nghỉ hưu</t>
  </si>
  <si>
    <t>Ngày tháng năm nghỉ hưu trước tuổi</t>
  </si>
  <si>
    <t>Bắt đầu</t>
  </si>
  <si>
    <t>Kết thúc</t>
  </si>
  <si>
    <t>5 năm</t>
  </si>
  <si>
    <t>2 năm</t>
  </si>
  <si>
    <t>60 tuổi 03 tháng</t>
  </si>
  <si>
    <t>X</t>
  </si>
  <si>
    <t>60 tuổi 06 tháng</t>
  </si>
  <si>
    <t>60 tuổi 09 tháng</t>
  </si>
  <si>
    <t>61 tuổi 03 tháng</t>
  </si>
  <si>
    <t>61 tuổi 06 tháng</t>
  </si>
  <si>
    <t>61 tuổi 09 tháng</t>
  </si>
  <si>
    <t>55 tuổi 04 tháng</t>
  </si>
  <si>
    <t>55 tuổi 08 tháng</t>
  </si>
  <si>
    <t>56 tuổi 04 tháng</t>
  </si>
  <si>
    <t>56 tuổi 08 tháng</t>
  </si>
  <si>
    <t>57 tuổi 04 tháng</t>
  </si>
  <si>
    <t>57 tuổi 08 tháng</t>
  </si>
  <si>
    <t>58 tuổi 04 tháng</t>
  </si>
  <si>
    <t>58 tuổi 08 tháng</t>
  </si>
  <si>
    <t>59 tuổi 04 tháng</t>
  </si>
  <si>
    <t>59 tuổi 08 tháng</t>
  </si>
  <si>
    <t>55 tuổi 03 tháng</t>
  </si>
  <si>
    <t>55 tuổi 06 tháng</t>
  </si>
  <si>
    <t>55 tuổi 09 tháng</t>
  </si>
  <si>
    <t>56 tuổi 03 tháng</t>
  </si>
  <si>
    <t>56 tuổi 06 tháng</t>
  </si>
  <si>
    <t>56 tuổi 09 tháng</t>
  </si>
  <si>
    <t>Làm tròn tuổi</t>
  </si>
  <si>
    <t>Chính sách tinh giản biên chế:</t>
  </si>
  <si>
    <t>Nghỉ hưu trước tuổi:</t>
  </si>
  <si>
    <t>Thôi việc ngay:</t>
  </si>
  <si>
    <t>Hưởng trợ cấp:</t>
  </si>
  <si>
    <t>Số năm nghỉ hưu trước theo quy định:</t>
  </si>
  <si>
    <t>62 tuổi 0 tháng</t>
  </si>
  <si>
    <t>56 tuổi 0 tháng</t>
  </si>
  <si>
    <t>57 tuổi 0 tháng</t>
  </si>
  <si>
    <t>58 tuổi 0 tháng</t>
  </si>
  <si>
    <t>59 tuổi 0 tháng</t>
  </si>
  <si>
    <t>60 tuổi 0 tháng</t>
  </si>
  <si>
    <t>61 tuổi 0 tháng</t>
  </si>
  <si>
    <t>Số năm đóng BHXH vượt làm tròn:</t>
  </si>
  <si>
    <t>đồng</t>
  </si>
  <si>
    <t>TT</t>
  </si>
  <si>
    <t>Ngày, tháng, năm</t>
  </si>
  <si>
    <t>Hệ số lương</t>
  </si>
  <si>
    <t>PC chức vụ (nếu có)</t>
  </si>
  <si>
    <t>Hệ số chênh lệch bảo lưu (nếu có)</t>
  </si>
  <si>
    <t>PC thâm niên nghề (nếu có)</t>
  </si>
  <si>
    <t>PC thâm niên vượt khung (nếu có)</t>
  </si>
  <si>
    <t>Tổng hệ số</t>
  </si>
  <si>
    <t>Lương cơ sở theo quy định hiện hành</t>
  </si>
  <si>
    <t>Lương hiện hưởng</t>
  </si>
  <si>
    <t>Tiền lương hiện hưởng và tiềng lương bình quân 60 tháng trước khi tinh giản:</t>
  </si>
  <si>
    <t>Số tháng hưởng</t>
  </si>
  <si>
    <t>Tổng tiền lương để tính chia bình quân</t>
  </si>
  <si>
    <t>TỔNG CỘNG</t>
  </si>
  <si>
    <t>TIỀN LƯƠNG BÌNH QUÂN</t>
  </si>
  <si>
    <t>Kinh phí tinh giản biên chế</t>
  </si>
  <si>
    <t>a</t>
  </si>
  <si>
    <t>Trợ cấp 03 tháng tiền lương bình quân cho mỗi năm nghỉ hưu trước tuổi</t>
  </si>
  <si>
    <t xml:space="preserve">   tháng</t>
  </si>
  <si>
    <t>Số năm NHTT làm tròn:</t>
  </si>
  <si>
    <t>b</t>
  </si>
  <si>
    <t>Trợ cấp 05 tháng tiền lương bình quân cho hai mươi năm đầu công tác, có đóng đủ bảo hiểm xã hội bắt buộc</t>
  </si>
  <si>
    <t>c</t>
  </si>
  <si>
    <t>Trợ cấp 1/2 tháng tiền lương đối với mỗi năm từ năm 21 trở đi</t>
  </si>
  <si>
    <t xml:space="preserve">   đồng</t>
  </si>
  <si>
    <t>*** Đối với đối tượng NHTT</t>
  </si>
  <si>
    <t>*** Đối với đối tượng TVN</t>
  </si>
  <si>
    <t>Trợ cấp 03 tháng tiền lương hiện hưởng</t>
  </si>
  <si>
    <t>Trợ cấp 1,5 tháng tiền lương bình quân cho mỗi năm công tác có đóng bảo hiểm xã hội bắt buộc</t>
  </si>
  <si>
    <t>*** Lưu ý mốc thay đổi lương cơ sở theo quy định hiện hành</t>
  </si>
  <si>
    <t>*** Đối với đối tượng NHTT là nữ cán bộ, công chức xã dưới 20 năm đóng BHXH</t>
  </si>
  <si>
    <t>Trợ cấp 1,5 tháng tiền lương bình quân cho mỗi năm nghỉ hưu trước tuổi</t>
  </si>
  <si>
    <t>Trợ cấp 05 tháng tiền lương bình quân</t>
  </si>
  <si>
    <t>Trợ cấp hưởng thêm đối với cán bộ, công chức, viên chức cấp huyện, cấp xã dôi dư do sắp xếp đơn vị hành chính</t>
  </si>
  <si>
    <t>Trong thời gian 12 tháng kể từ khi có quyết định của cấp có thẩm quyền</t>
  </si>
  <si>
    <t>Sau 12 tháng kể từ khi có quyết định sắp xếp của cấp có thẩm quyền</t>
  </si>
  <si>
    <t>Thời điểm kết thúc nhiệm kỳ</t>
  </si>
  <si>
    <t>Tổng hệ số lương</t>
  </si>
  <si>
    <t>Số tháng nghỉ trước khi hết nhiệm kỳ</t>
  </si>
  <si>
    <t>Số tháng nghỉ trước khi kết thúc lộ trình sắp xếp</t>
  </si>
  <si>
    <t>Thời điểm kết thúc lộ trình sắp xếp</t>
  </si>
  <si>
    <t>Các trường hợp tinh giản biên chế</t>
  </si>
  <si>
    <t>Quyết định sắp xếp tổ chức bộ máy:</t>
  </si>
  <si>
    <t>Số QĐ:</t>
  </si>
  <si>
    <t>Ngày, tháng, năm của QĐ:</t>
  </si>
  <si>
    <t>Quyết định sắp xếp đơn vị HC:</t>
  </si>
  <si>
    <t>Vị trí việc làm:</t>
  </si>
  <si>
    <t>Theo quy định:</t>
  </si>
  <si>
    <t>Số có mặt:</t>
  </si>
  <si>
    <t>Dư theo quy định:</t>
  </si>
  <si>
    <t>Cá nhân tự nguyện và được cơ quan trực tiếp quản lý đồng ý</t>
  </si>
  <si>
    <t>… Chọn …</t>
  </si>
  <si>
    <t>x</t>
  </si>
  <si>
    <t>Dôi dư do rà soát, sắp xếp lại tổ chức bộ máy, nhân sự theo quyết định của cấp có thẩm quyền</t>
  </si>
  <si>
    <t>Dôi dư do đơn vị sự nghiệp công lập sắp xếp tổ chức bộ máy, nhân sự để thực hiện cơ chế tự chủ</t>
  </si>
  <si>
    <t>Dôi dư do sắp xếp lại đơn vị hành chính cấp huyện, cấp xã theo quyết định của cấp có thẩm quyền</t>
  </si>
  <si>
    <t>Dôi dư do cơ cấu lại cán bộ, công chức, viên chức theo vị trí việc làm, nhưng không thể bố trí, sắp xếp được việc làm khác</t>
  </si>
  <si>
    <t>Dôi dư do cơ cấu lại cán bộ, công chức, viên chức theo vị trí việc làm, bố trí được việc làm khác nhưng cá nhân tự nguyện tinh giản biên chế và được cơ quan, tổ chức, đơn vị trực tiếp quản lý đồng ý</t>
  </si>
  <si>
    <t>Chưa đạt trình độ đào tạo theo tiêu chuẩn chuyên môn, nghiệp vụ quy định đối với vị trí việc làm đang đảm nhiệm, nhưng không có vị trí việc làm khác phù hợp để bố trí và không thể bố trí đào tạo lại để chuẩn hóa về chuyên môn, nghiệp vụ</t>
  </si>
  <si>
    <t>Chưa đạt trình độ đào tạo theo tiêu chuẩn chuyên môn, nghiệp vụ quy định đối với vị trí việc làm đang đảm nhiệm, được cơ quan bố trí việc làm khác nhưng cá nhân tự nguyện thực hiện tinh giản biên chế và được cơ quan, tổ chức, đơn vị trực tiếp quản lý đồng ý</t>
  </si>
  <si>
    <t>Có 02 năm liên tiếp liền kề tại thời điểm xét tinh giản biên chế, cán bộ, công chức, viên chức có 01 năm xếp loại chất lượng ở mức hoàn thành nhiệm vụ và 01 năm không hoàn thành nhiệm vụ nhưng không thể bố trí việc làm khác phù hợp</t>
  </si>
  <si>
    <t>Trong năm trước liền kề hoặc trong năm thực hiện xét tinh giản biên chế xếp loại chất lượng ở mức hoàn thành nhiệm vụ trở xuống nhưng cá nhân tự nguyện thực hiện tinh giản biên chế và được cơ quan, tổ chức, đơn vị trực tiếp quản lý đồng ý</t>
  </si>
  <si>
    <t>Có 02 năm liên tiếp liền kề tại thời điểm xét tinh giản biên chế mà trong từng năm đều có tổng số ngày nghỉ làm việc bằng hoặc cao hơn số ngày nghỉ tối đa do ốm đau theo quy định tại khoản 1 Điều 26 Luật Bảo hiểm xã hội, có xác nhận của cơ quan Bảo hiểm xã hội chi trả trợ cấp ốm đau theo quy định hiện hành của pháp luật; trong năm trước liền kề</t>
  </si>
  <si>
    <t>Trong năm thực hiện xét tinh giản biên chế có tổng số ngày nghỉ làm việc bằng hoặc cao hơn số ngày nghỉ tối đa do ốm đau theo quy định tại khoản 1 Điều 26 Luật Bảo hiểm xã hội, có xác nhận của cơ quan Bảo hiểm xã hội chi trả trợ cấp ốm đau theo quy định hiện hành của pháp luật, cá nhân tự nguyện thực hiện tinh giản biên chế và được cơ quan, tổ chức, đơn vị trực tiếp quản lý đồng ý</t>
  </si>
  <si>
    <t>Cán bộ, công chức, viên chức lãnh đạo, quản lý thôi giữ chức vụ, chức danh do sắp xếp tổ chức bộ máy, đơn vị hành chính theo quyết định của cấp có thẩm quyền, cá nhân tự nguyện thực hiện tinh giản biên chế và được cơ quan, tổ chức, đơn vị trực tiếp quản lý đồng ý</t>
  </si>
  <si>
    <t>Cán bộ, công chức, viên chức đang trong thời gian bị kỷ luật nhưng chưa đến mức bị bãi nhiệm hoặc bị buộc thôi việc theo quy định của pháp luật tại thời điểm xét tinh giản biên chế, cá nhân tự nguyện thực hiện tinh giản biên chế, được cơ quan, tổ chức, đơn vị trực tiếp quản lý đồng ý</t>
  </si>
  <si>
    <t>Người làm việc theo chế độ hợp đồng lao động không xác định thời hạn thực hiện các công việc chuyên môn nghiệp vụ thuộc danh mục vị trí việc làm chức danh nghề nghiệp chuyên ngành và vị trí việc làm chức danh nghề nghiệp chuyên môn dùng chung trong đơn vị sự nghiệp công lập theo quy định của Chính phủ dôi dư do sắp xếp lại tổ chức hoặc cơ cấu lại nhân lực của đơn vị theo quyết định của cấp có thẩm quyền</t>
  </si>
  <si>
    <t> Người hoạt động không chuyên trách ở cấp xã dôi dư do sắp xếp đơn vị hành chính cấp xã và người hoạt động không chuyên trách ở thôn, tổ dân phố dôi dư do sắp xếp thôn, tổ dân phố khi sắp xếp đơn vị hành chính cấp xã nghỉ trong thời gian 12 tháng kể từ khi có quyết định sắp xếp của cấp có thẩm quyền</t>
  </si>
  <si>
    <t>Giải trình lý do TGBC:</t>
  </si>
  <si>
    <t>Trình độ hiện nay:</t>
  </si>
  <si>
    <t>Trình độ theo yêu cầu:</t>
  </si>
  <si>
    <t>Cơ sở pháp lý:</t>
  </si>
  <si>
    <t>Mức độ đánh giá:</t>
  </si>
  <si>
    <t>02 năm trước liền kề thời điểm TGBC</t>
  </si>
  <si>
    <t>Năm 1</t>
  </si>
  <si>
    <t>Năm 2</t>
  </si>
  <si>
    <t>Năm trước liền kề thời điểm TGBC</t>
  </si>
  <si>
    <t>Đánh giá</t>
  </si>
  <si>
    <t>Hoàn thành nhiệm vụ</t>
  </si>
  <si>
    <t>Không hoàn thành nhiệm vụ</t>
  </si>
  <si>
    <t>Đang trong thời gian bị kỷ luật với hình thức:</t>
  </si>
  <si>
    <t>Các hình thức kỷ luật</t>
  </si>
  <si>
    <t>Khiển trách</t>
  </si>
  <si>
    <t>Cảnh cáo</t>
  </si>
  <si>
    <t>Hạ bậc lương</t>
  </si>
  <si>
    <t>Giáng chức</t>
  </si>
  <si>
    <t>Cách chức</t>
  </si>
  <si>
    <t>Buộc thôi việc</t>
  </si>
  <si>
    <t>Bãi nhiệm</t>
  </si>
  <si>
    <t>Số ngày nghỉ theo quy định của Luật BHXH</t>
  </si>
  <si>
    <t>ĐK bình thường</t>
  </si>
  <si>
    <t>Nặng nhọc</t>
  </si>
  <si>
    <t>Số ngày nghỉ 02 năm trước liền kề</t>
  </si>
  <si>
    <t>Số ngày nghỉ năm trước liền kề</t>
  </si>
  <si>
    <t xml:space="preserve">   ngày</t>
  </si>
  <si>
    <t>Dưới 15 năm</t>
  </si>
  <si>
    <t>Từ 15 đến dưới 30 năm</t>
  </si>
  <si>
    <t>Từ 30 năm trở lên</t>
  </si>
  <si>
    <t>16a</t>
  </si>
  <si>
    <t>16b</t>
  </si>
  <si>
    <t>16c</t>
  </si>
  <si>
    <t>16d</t>
  </si>
  <si>
    <t>*** Đối với đối tượng người hoạt động không chuyên trách</t>
  </si>
  <si>
    <t>Giữ chức danh bầu cử</t>
  </si>
  <si>
    <t>PC hàng tháng hiện hưởng:</t>
  </si>
  <si>
    <t xml:space="preserve">  tuổi</t>
  </si>
  <si>
    <t xml:space="preserve">Tuổi tại thời điểm kết thúc nhiệm kỳ </t>
  </si>
  <si>
    <t>Số tháng nghỉ trước thời điểm kết thúc lộ trình sắp xếp</t>
  </si>
  <si>
    <t>Số tháng nghỉ trước thời điểm kết thúc nhiệm kỳ</t>
  </si>
  <si>
    <t>Trợ cấp được hưởng:</t>
  </si>
  <si>
    <t>Độ tuổi tại thời điểm kết thúc lộ trình sắp xếp</t>
  </si>
  <si>
    <t>Chênh lệch với độ tuổi nghỉ hưu theo quy định</t>
  </si>
  <si>
    <t xml:space="preserve">  năm</t>
  </si>
  <si>
    <t>Đối tượng có thời điểm nghỉ hưu trước thời điểm kết thúc lộ trình sắp xếp</t>
  </si>
  <si>
    <t>Đối tượng không có thời điểm nghỉ hưu trước thời điểm kết thúc lộ trình sắp xếp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</si>
</sst>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0" x14ac:knownFonts="1">
    <font>
      <sz val="11"/>
      <color theme="1"/>
      <name val="Calibri"/>
      <family val="2"/>
      <charset val="163"/>
      <scheme val="minor"/>
    </font>
    <font>
      <sz val="11"/>
      <color theme="1"/>
      <name val="Arial"/>
      <family val="2"/>
    </font>
    <font>
      <b/>
      <sz val="11"/>
      <color theme="1"/>
      <name val="Arial"/>
      <family val="2"/>
    </font>
    <font>
      <b/>
      <u/>
      <sz val="11"/>
      <color theme="1"/>
      <name val="Arial"/>
      <family val="2"/>
    </font>
    <font>
      <sz val="11"/>
      <color theme="1"/>
      <name val="Calibri"/>
      <family val="2"/>
      <charset val="163"/>
      <scheme val="minor"/>
    </font>
    <font>
      <sz val="10.5"/>
      <color theme="1"/>
      <name val="Arial"/>
      <family val="2"/>
    </font>
    <font>
      <sz val="10"/>
      <color theme="1"/>
      <name val="Arial"/>
      <family val="2"/>
    </font>
    <font>
      <sz val="11"/>
      <color rgb="FF000000"/>
      <name val="Arial"/>
      <family val="2"/>
    </font>
    <font>
      <sz val="11"/>
      <color rgb="FF222222"/>
      <name val="Arial"/>
      <family val="2"/>
    </font>
    <font>
      <sz val="11"/>
      <color rgb="FFFF0000"/>
      <name val="Arial"/>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164" fontId="4" fillId="0" borderId="0" applyFont="0" applyFill="0" applyBorder="0" applyAlignment="0" applyProtection="0"/>
  </cellStyleXfs>
  <cellXfs count="11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left"/>
    </xf>
    <xf numFmtId="0" fontId="2" fillId="0" borderId="0" xfId="0" applyFont="1" applyAlignment="1">
      <alignment horizontal="center"/>
    </xf>
    <xf numFmtId="0" fontId="1" fillId="0" borderId="7" xfId="0" applyFont="1" applyBorder="1"/>
    <xf numFmtId="14" fontId="1" fillId="0" borderId="0" xfId="0" applyNumberFormat="1" applyFont="1" applyProtection="1">
      <protection hidden="1"/>
    </xf>
    <xf numFmtId="0" fontId="1" fillId="0" borderId="1" xfId="0" applyFont="1" applyBorder="1" applyAlignment="1">
      <alignment horizontal="center" vertical="center"/>
    </xf>
    <xf numFmtId="0" fontId="1" fillId="0" borderId="0" xfId="0" applyFont="1" applyAlignment="1">
      <alignment horizontal="center" vertical="center" wrapText="1"/>
    </xf>
    <xf numFmtId="0" fontId="2" fillId="0" borderId="0" xfId="0" applyFont="1"/>
    <xf numFmtId="0" fontId="1" fillId="0" borderId="8"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0" borderId="8" xfId="0" applyFont="1" applyBorder="1" applyAlignment="1">
      <alignment horizontal="center"/>
    </xf>
    <xf numFmtId="9" fontId="1" fillId="0" borderId="8" xfId="0" applyNumberFormat="1" applyFont="1" applyBorder="1" applyAlignment="1">
      <alignment horizontal="center"/>
    </xf>
    <xf numFmtId="14" fontId="1" fillId="0" borderId="8" xfId="0" applyNumberFormat="1" applyFont="1" applyBorder="1"/>
    <xf numFmtId="0" fontId="1" fillId="0" borderId="10" xfId="0" applyFont="1" applyBorder="1" applyAlignment="1">
      <alignment horizontal="center"/>
    </xf>
    <xf numFmtId="0" fontId="2" fillId="0" borderId="7" xfId="0" applyFont="1" applyBorder="1"/>
    <xf numFmtId="0" fontId="1" fillId="0" borderId="11" xfId="0" applyFont="1" applyBorder="1" applyAlignment="1">
      <alignment horizontal="center"/>
    </xf>
    <xf numFmtId="0" fontId="2" fillId="0" borderId="12" xfId="0" applyFont="1" applyBorder="1"/>
    <xf numFmtId="0" fontId="1" fillId="0" borderId="12" xfId="0" applyFont="1" applyBorder="1"/>
    <xf numFmtId="0" fontId="1" fillId="0" borderId="5" xfId="0" applyFont="1" applyBorder="1" applyAlignment="1">
      <alignment horizontal="left"/>
    </xf>
    <xf numFmtId="0" fontId="1" fillId="0" borderId="0" xfId="0" applyFont="1" applyAlignment="1">
      <alignment horizontal="left"/>
    </xf>
    <xf numFmtId="165" fontId="1" fillId="2" borderId="9" xfId="1" quotePrefix="1" applyNumberFormat="1" applyFont="1" applyFill="1" applyBorder="1" applyAlignment="1" applyProtection="1">
      <alignment horizontal="center"/>
      <protection locked="0"/>
    </xf>
    <xf numFmtId="0" fontId="1" fillId="0" borderId="12" xfId="0" applyFont="1" applyBorder="1" applyProtection="1">
      <protection locked="0"/>
    </xf>
    <xf numFmtId="0" fontId="1" fillId="0" borderId="7" xfId="0" applyFont="1" applyBorder="1" applyProtection="1">
      <protection locked="0"/>
    </xf>
    <xf numFmtId="0" fontId="2" fillId="0" borderId="0" xfId="0" applyFont="1" applyAlignment="1">
      <alignment horizontal="center" vertical="center"/>
    </xf>
    <xf numFmtId="0" fontId="2" fillId="0" borderId="0" xfId="0" applyFont="1" applyAlignment="1">
      <alignment vertical="center"/>
    </xf>
    <xf numFmtId="0" fontId="1" fillId="0" borderId="1" xfId="0" applyFont="1" applyBorder="1"/>
    <xf numFmtId="0" fontId="1" fillId="0" borderId="1" xfId="0" applyFont="1" applyBorder="1" applyAlignment="1">
      <alignment horizontal="center"/>
    </xf>
    <xf numFmtId="0" fontId="5" fillId="0" borderId="0" xfId="0" applyFont="1"/>
    <xf numFmtId="0" fontId="6" fillId="0" borderId="0" xfId="0" applyFont="1"/>
    <xf numFmtId="14" fontId="1" fillId="0" borderId="0" xfId="0" applyNumberFormat="1" applyFont="1"/>
    <xf numFmtId="0" fontId="1" fillId="0" borderId="0" xfId="0" quotePrefix="1" applyFont="1"/>
    <xf numFmtId="0" fontId="1" fillId="0" borderId="0" xfId="0" applyFont="1" applyAlignment="1">
      <alignment horizontal="center" vertical="top"/>
    </xf>
    <xf numFmtId="0" fontId="1" fillId="0" borderId="0" xfId="0" applyFont="1" applyAlignment="1">
      <alignment vertical="top"/>
    </xf>
    <xf numFmtId="0" fontId="7" fillId="0" borderId="0" xfId="0" applyFont="1"/>
    <xf numFmtId="0" fontId="8" fillId="0" borderId="0" xfId="0" applyFont="1"/>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14" fontId="9" fillId="2" borderId="0" xfId="0" applyNumberFormat="1" applyFont="1" applyFill="1" applyAlignment="1">
      <alignment horizontal="center" vertical="center" wrapText="1"/>
    </xf>
    <xf numFmtId="14"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14" fontId="1" fillId="0" borderId="0" xfId="0" applyNumberFormat="1" applyFont="1" applyAlignment="1">
      <alignment horizontal="center" vertical="center" wrapText="1"/>
    </xf>
    <xf numFmtId="14" fontId="1" fillId="2" borderId="0" xfId="0" applyNumberFormat="1" applyFont="1" applyFill="1" applyAlignment="1">
      <alignment horizontal="center" vertical="center" wrapText="1"/>
    </xf>
    <xf numFmtId="14" fontId="1" fillId="3" borderId="0" xfId="0" applyNumberFormat="1" applyFont="1" applyFill="1" applyAlignment="1">
      <alignment horizontal="center" vertical="center" wrapText="1"/>
    </xf>
    <xf numFmtId="165" fontId="1" fillId="0" borderId="0" xfId="1" applyNumberFormat="1" applyFont="1"/>
    <xf numFmtId="0" fontId="1" fillId="0" borderId="0" xfId="0" applyFont="1" applyAlignment="1">
      <alignment horizontal="right"/>
    </xf>
    <xf numFmtId="14" fontId="1" fillId="0" borderId="1" xfId="0" applyNumberFormat="1" applyFont="1" applyBorder="1" applyAlignment="1">
      <alignment horizontal="center"/>
    </xf>
    <xf numFmtId="0" fontId="2" fillId="0" borderId="5" xfId="0" applyFont="1" applyBorder="1"/>
    <xf numFmtId="165" fontId="1" fillId="0" borderId="1" xfId="1" applyNumberFormat="1" applyFont="1" applyBorder="1" applyAlignment="1">
      <alignment horizontal="center"/>
    </xf>
    <xf numFmtId="0" fontId="1" fillId="2" borderId="1" xfId="0" applyFont="1" applyFill="1" applyBorder="1" applyAlignment="1" applyProtection="1">
      <alignment horizontal="center"/>
      <protection hidden="1"/>
    </xf>
    <xf numFmtId="0" fontId="1" fillId="2" borderId="1" xfId="0" applyFont="1" applyFill="1" applyBorder="1" applyAlignment="1" applyProtection="1">
      <alignment horizontal="center" vertical="center"/>
      <protection hidden="1"/>
    </xf>
    <xf numFmtId="1" fontId="1" fillId="2" borderId="1" xfId="0" applyNumberFormat="1" applyFont="1" applyFill="1" applyBorder="1" applyAlignment="1" applyProtection="1">
      <alignment horizontal="center" vertical="center"/>
      <protection hidden="1"/>
    </xf>
    <xf numFmtId="165" fontId="1" fillId="2" borderId="1" xfId="1" applyNumberFormat="1" applyFont="1" applyFill="1" applyBorder="1" applyProtection="1">
      <protection hidden="1"/>
    </xf>
    <xf numFmtId="14" fontId="1" fillId="2" borderId="8" xfId="0" applyNumberFormat="1" applyFont="1" applyFill="1" applyBorder="1" applyProtection="1">
      <protection hidden="1"/>
    </xf>
    <xf numFmtId="0" fontId="1" fillId="2" borderId="8" xfId="0" applyFont="1" applyFill="1" applyBorder="1" applyAlignment="1" applyProtection="1">
      <alignment horizontal="center"/>
      <protection hidden="1"/>
    </xf>
    <xf numFmtId="165" fontId="1" fillId="2" borderId="8" xfId="1" applyNumberFormat="1" applyFont="1" applyFill="1" applyBorder="1" applyProtection="1">
      <protection hidden="1"/>
    </xf>
    <xf numFmtId="165" fontId="1" fillId="2" borderId="8" xfId="0" applyNumberFormat="1" applyFont="1" applyFill="1" applyBorder="1" applyProtection="1">
      <protection hidden="1"/>
    </xf>
    <xf numFmtId="165" fontId="1" fillId="2" borderId="1" xfId="0" applyNumberFormat="1" applyFont="1" applyFill="1" applyBorder="1" applyProtection="1">
      <protection hidden="1"/>
    </xf>
    <xf numFmtId="165" fontId="1" fillId="2" borderId="1" xfId="1" applyNumberFormat="1" applyFont="1" applyFill="1" applyBorder="1" applyAlignment="1" applyProtection="1">
      <alignment horizontal="center"/>
      <protection hidden="1"/>
    </xf>
    <xf numFmtId="0" fontId="1" fillId="0" borderId="0" xfId="0" applyFont="1" applyProtection="1">
      <protection locked="0"/>
    </xf>
    <xf numFmtId="164" fontId="1" fillId="0" borderId="8" xfId="1" applyFont="1" applyBorder="1" applyAlignment="1">
      <alignment horizontal="center"/>
    </xf>
    <xf numFmtId="0" fontId="1" fillId="0" borderId="0" xfId="0" applyFont="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165" fontId="1" fillId="2" borderId="2" xfId="1" applyNumberFormat="1" applyFont="1" applyFill="1" applyBorder="1" applyAlignment="1" applyProtection="1">
      <alignment horizontal="center"/>
      <protection hidden="1"/>
    </xf>
    <xf numFmtId="165" fontId="1" fillId="2" borderId="4" xfId="1" applyNumberFormat="1" applyFont="1" applyFill="1" applyBorder="1" applyAlignment="1" applyProtection="1">
      <alignment horizontal="center"/>
      <protection hidden="1"/>
    </xf>
    <xf numFmtId="0" fontId="2" fillId="0" borderId="0" xfId="0" applyFont="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14" fontId="1" fillId="0" borderId="2" xfId="0" applyNumberFormat="1" applyFont="1" applyBorder="1" applyAlignment="1">
      <alignment horizontal="center"/>
    </xf>
    <xf numFmtId="0" fontId="6" fillId="0" borderId="5" xfId="0" applyFont="1" applyBorder="1" applyAlignment="1">
      <alignment horizontal="right"/>
    </xf>
    <xf numFmtId="0" fontId="6" fillId="0" borderId="0" xfId="0" applyFont="1" applyAlignment="1">
      <alignment horizontal="right"/>
    </xf>
    <xf numFmtId="0" fontId="1" fillId="2" borderId="2" xfId="0" applyFont="1" applyFill="1" applyBorder="1" applyAlignment="1" applyProtection="1">
      <alignment horizontal="center"/>
      <protection hidden="1"/>
    </xf>
    <xf numFmtId="0" fontId="1" fillId="2" borderId="4" xfId="0" applyFont="1" applyFill="1" applyBorder="1" applyAlignment="1" applyProtection="1">
      <alignment horizontal="center"/>
      <protection hidden="1"/>
    </xf>
    <xf numFmtId="165" fontId="2" fillId="2" borderId="2" xfId="0" applyNumberFormat="1" applyFont="1" applyFill="1" applyBorder="1" applyAlignment="1" applyProtection="1">
      <alignment horizontal="center"/>
      <protection hidden="1"/>
    </xf>
    <xf numFmtId="0" fontId="2" fillId="2" borderId="4" xfId="0" applyFont="1" applyFill="1" applyBorder="1" applyAlignment="1" applyProtection="1">
      <alignment horizontal="center"/>
      <protection hidden="1"/>
    </xf>
    <xf numFmtId="0" fontId="2" fillId="0" borderId="5" xfId="0" applyFont="1" applyBorder="1" applyAlignment="1">
      <alignment horizontal="left"/>
    </xf>
    <xf numFmtId="0" fontId="2" fillId="0" borderId="0" xfId="0" applyFont="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xf>
    <xf numFmtId="165" fontId="1" fillId="2" borderId="3" xfId="1" applyNumberFormat="1" applyFont="1" applyFill="1" applyBorder="1" applyAlignment="1" applyProtection="1">
      <alignment horizontal="center"/>
      <protection hidden="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2" borderId="3" xfId="0" applyFont="1" applyFill="1" applyBorder="1" applyAlignment="1" applyProtection="1">
      <alignment horizontal="center"/>
      <protection hidden="1"/>
    </xf>
    <xf numFmtId="0" fontId="2" fillId="0" borderId="13" xfId="0" applyFont="1" applyBorder="1" applyAlignment="1">
      <alignment horizontal="center" vertical="center" textRotation="90" wrapText="1"/>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14" fontId="1" fillId="0" borderId="2" xfId="0" applyNumberFormat="1"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14" fontId="1" fillId="2" borderId="2" xfId="0" applyNumberFormat="1" applyFont="1" applyFill="1" applyBorder="1" applyAlignment="1" applyProtection="1">
      <alignment horizontal="center"/>
      <protection hidden="1"/>
    </xf>
    <xf numFmtId="14" fontId="1" fillId="2" borderId="4" xfId="0" applyNumberFormat="1" applyFont="1" applyFill="1" applyBorder="1" applyAlignment="1" applyProtection="1">
      <alignment horizontal="center"/>
      <protection hidden="1"/>
    </xf>
    <xf numFmtId="0" fontId="1" fillId="2" borderId="2" xfId="0"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165" fontId="1" fillId="2" borderId="2" xfId="0" applyNumberFormat="1" applyFont="1" applyFill="1" applyBorder="1" applyAlignment="1" applyProtection="1">
      <alignment horizontal="center"/>
      <protection hidden="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104775</xdr:colOff>
      <xdr:row>36</xdr:row>
      <xdr:rowOff>19051</xdr:rowOff>
    </xdr:from>
    <xdr:to>
      <xdr:col>4</xdr:col>
      <xdr:colOff>0</xdr:colOff>
      <xdr:row>47</xdr:row>
      <xdr:rowOff>9526</xdr:rowOff>
    </xdr:to>
    <xdr:sp macro="" textlink="">
      <xdr:nvSpPr>
        <xdr:cNvPr id="2" name="Left Brace 1">
          <a:extLst>
            <a:ext uri="{FF2B5EF4-FFF2-40B4-BE49-F238E27FC236}">
              <a16:creationId xmlns:a16="http://schemas.microsoft.com/office/drawing/2014/main" id="{00000000-0008-0000-0100-000002000000}"/>
            </a:ext>
          </a:extLst>
        </xdr:cNvPr>
        <xdr:cNvSpPr/>
      </xdr:nvSpPr>
      <xdr:spPr>
        <a:xfrm>
          <a:off x="2019300" y="6276976"/>
          <a:ext cx="371475" cy="16573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oneCellAnchor>
    <xdr:from>
      <xdr:col>2</xdr:col>
      <xdr:colOff>57150</xdr:colOff>
      <xdr:row>40</xdr:row>
      <xdr:rowOff>114300</xdr:rowOff>
    </xdr:from>
    <xdr:ext cx="569258"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6962775"/>
          <a:ext cx="569258" cy="26456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en-US" sz="1100"/>
            <a:t>Dôi</a:t>
          </a:r>
          <a:r>
            <a:rPr lang="en-US" sz="1100" baseline="0"/>
            <a:t> dư</a:t>
          </a:r>
          <a:endParaRPr lang="en-US" sz="1100"/>
        </a:p>
      </xdr:txBody>
    </xdr:sp>
    <xdr:clientData/>
  </xdr:oneCellAnchor>
  <xdr:twoCellAnchor>
    <xdr:from>
      <xdr:col>3</xdr:col>
      <xdr:colOff>104775</xdr:colOff>
      <xdr:row>48</xdr:row>
      <xdr:rowOff>1</xdr:rowOff>
    </xdr:from>
    <xdr:to>
      <xdr:col>4</xdr:col>
      <xdr:colOff>0</xdr:colOff>
      <xdr:row>51</xdr:row>
      <xdr:rowOff>0</xdr:rowOff>
    </xdr:to>
    <xdr:sp macro="" textlink="">
      <xdr:nvSpPr>
        <xdr:cNvPr id="4" name="Left Brace 3">
          <a:extLst>
            <a:ext uri="{FF2B5EF4-FFF2-40B4-BE49-F238E27FC236}">
              <a16:creationId xmlns:a16="http://schemas.microsoft.com/office/drawing/2014/main" id="{00000000-0008-0000-0100-000004000000}"/>
            </a:ext>
          </a:extLst>
        </xdr:cNvPr>
        <xdr:cNvSpPr/>
      </xdr:nvSpPr>
      <xdr:spPr>
        <a:xfrm>
          <a:off x="2019300" y="8029576"/>
          <a:ext cx="371475" cy="49529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oneCellAnchor>
    <xdr:from>
      <xdr:col>1</xdr:col>
      <xdr:colOff>942975</xdr:colOff>
      <xdr:row>48</xdr:row>
      <xdr:rowOff>114300</xdr:rowOff>
    </xdr:from>
    <xdr:ext cx="667299"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257300" y="8143875"/>
          <a:ext cx="667299" cy="26456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en-US" sz="1100"/>
            <a:t>Trình</a:t>
          </a:r>
          <a:r>
            <a:rPr lang="en-US" sz="1100" baseline="0"/>
            <a:t> độ</a:t>
          </a:r>
          <a:endParaRPr lang="en-US" sz="1100"/>
        </a:p>
      </xdr:txBody>
    </xdr:sp>
    <xdr:clientData/>
  </xdr:oneCellAnchor>
  <xdr:twoCellAnchor>
    <xdr:from>
      <xdr:col>3</xdr:col>
      <xdr:colOff>114300</xdr:colOff>
      <xdr:row>52</xdr:row>
      <xdr:rowOff>0</xdr:rowOff>
    </xdr:from>
    <xdr:to>
      <xdr:col>4</xdr:col>
      <xdr:colOff>9525</xdr:colOff>
      <xdr:row>59</xdr:row>
      <xdr:rowOff>0</xdr:rowOff>
    </xdr:to>
    <xdr:sp macro="" textlink="">
      <xdr:nvSpPr>
        <xdr:cNvPr id="6" name="Left Brace 5">
          <a:extLst>
            <a:ext uri="{FF2B5EF4-FFF2-40B4-BE49-F238E27FC236}">
              <a16:creationId xmlns:a16="http://schemas.microsoft.com/office/drawing/2014/main" id="{00000000-0008-0000-0100-000006000000}"/>
            </a:ext>
          </a:extLst>
        </xdr:cNvPr>
        <xdr:cNvSpPr/>
      </xdr:nvSpPr>
      <xdr:spPr>
        <a:xfrm>
          <a:off x="2028825" y="8629650"/>
          <a:ext cx="371475" cy="10763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oneCellAnchor>
    <xdr:from>
      <xdr:col>1</xdr:col>
      <xdr:colOff>933450</xdr:colOff>
      <xdr:row>54</xdr:row>
      <xdr:rowOff>95250</xdr:rowOff>
    </xdr:from>
    <xdr:ext cx="686855" cy="26456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247775" y="9029700"/>
          <a:ext cx="686855" cy="26456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en-US" sz="1100"/>
            <a:t>Đánh</a:t>
          </a:r>
          <a:r>
            <a:rPr lang="en-US" sz="1100" baseline="0"/>
            <a:t> giá</a:t>
          </a:r>
          <a:endParaRPr lang="en-US" sz="1100"/>
        </a:p>
      </xdr:txBody>
    </xdr:sp>
    <xdr:clientData/>
  </xdr:oneCellAnchor>
  <xdr:twoCellAnchor>
    <xdr:from>
      <xdr:col>3</xdr:col>
      <xdr:colOff>66675</xdr:colOff>
      <xdr:row>60</xdr:row>
      <xdr:rowOff>0</xdr:rowOff>
    </xdr:from>
    <xdr:to>
      <xdr:col>3</xdr:col>
      <xdr:colOff>438150</xdr:colOff>
      <xdr:row>67</xdr:row>
      <xdr:rowOff>9525</xdr:rowOff>
    </xdr:to>
    <xdr:sp macro="" textlink="">
      <xdr:nvSpPr>
        <xdr:cNvPr id="8" name="Left Brace 7">
          <a:extLst>
            <a:ext uri="{FF2B5EF4-FFF2-40B4-BE49-F238E27FC236}">
              <a16:creationId xmlns:a16="http://schemas.microsoft.com/office/drawing/2014/main" id="{00000000-0008-0000-0100-000008000000}"/>
            </a:ext>
          </a:extLst>
        </xdr:cNvPr>
        <xdr:cNvSpPr/>
      </xdr:nvSpPr>
      <xdr:spPr>
        <a:xfrm>
          <a:off x="1981200" y="9820275"/>
          <a:ext cx="371475" cy="10858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oneCellAnchor>
    <xdr:from>
      <xdr:col>2</xdr:col>
      <xdr:colOff>152400</xdr:colOff>
      <xdr:row>62</xdr:row>
      <xdr:rowOff>104775</xdr:rowOff>
    </xdr:from>
    <xdr:ext cx="479875"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438275" y="10220325"/>
          <a:ext cx="479875" cy="26456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en-US" sz="1100"/>
            <a:t>Bệnh</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150"/>
  <sheetViews>
    <sheetView tabSelected="1" topLeftCell="A136" zoomScaleNormal="100" workbookViewId="0">
      <selection activeCell="H11" sqref="H11:I11"/>
    </sheetView>
  </sheetViews>
  <sheetFormatPr defaultRowHeight="14.25" x14ac:dyDescent="0.2"/>
  <cols>
    <col min="1" max="1" width="4.7109375" style="2" customWidth="1"/>
    <col min="2" max="2" width="14.5703125" style="1" customWidth="1"/>
    <col min="3" max="3" width="9.42578125" style="1" customWidth="1"/>
    <col min="4" max="4" width="7.140625" style="1" customWidth="1"/>
    <col min="5" max="5" width="8.85546875" style="1" customWidth="1"/>
    <col min="6" max="6" width="12.140625" style="1" customWidth="1"/>
    <col min="7" max="7" width="7.85546875" style="1" customWidth="1"/>
    <col min="8" max="8" width="11" style="1" customWidth="1"/>
    <col min="9" max="9" width="16.7109375" style="1" customWidth="1"/>
    <col min="10" max="10" width="16.42578125" style="1" customWidth="1"/>
    <col min="11" max="11" width="13.5703125" style="1" customWidth="1"/>
    <col min="12" max="12" width="15.42578125" style="1" customWidth="1"/>
    <col min="13" max="13" width="12.85546875" style="1" customWidth="1"/>
    <col min="14" max="14" width="7.5703125" style="1" customWidth="1"/>
    <col min="15" max="16384" width="9.140625" style="1"/>
  </cols>
  <sheetData>
    <row r="1" spans="1:15" ht="15" x14ac:dyDescent="0.25">
      <c r="A1" s="4" t="s">
        <v>0</v>
      </c>
      <c r="B1" s="4"/>
      <c r="C1" s="4"/>
      <c r="L1" s="5"/>
    </row>
    <row r="3" spans="1:15" ht="15" x14ac:dyDescent="0.25">
      <c r="A3" s="72" t="s">
        <v>1</v>
      </c>
      <c r="B3" s="72"/>
      <c r="C3" s="72"/>
      <c r="D3" s="72"/>
      <c r="E3" s="72"/>
      <c r="F3" s="72"/>
      <c r="G3" s="72"/>
      <c r="H3" s="72"/>
      <c r="I3" s="72"/>
      <c r="J3" s="72"/>
      <c r="K3" s="72"/>
      <c r="L3" s="72"/>
      <c r="M3" s="72"/>
      <c r="N3" s="72"/>
    </row>
    <row r="4" spans="1:15" ht="15" thickBot="1" x14ac:dyDescent="0.25"/>
    <row r="5" spans="1:15" ht="15.75" customHeight="1" thickBot="1" x14ac:dyDescent="0.25">
      <c r="A5" s="3">
        <v>1</v>
      </c>
      <c r="B5" s="1" t="s">
        <v>2</v>
      </c>
      <c r="C5" s="96"/>
      <c r="D5" s="97"/>
      <c r="E5" s="97"/>
      <c r="F5" s="97"/>
      <c r="G5" s="97"/>
      <c r="H5" s="97"/>
      <c r="I5" s="97"/>
      <c r="J5" s="97"/>
      <c r="K5" s="98"/>
    </row>
    <row r="6" spans="1:15" ht="7.5" customHeight="1" thickBot="1" x14ac:dyDescent="0.25">
      <c r="A6" s="3"/>
      <c r="C6" s="2"/>
      <c r="D6" s="2"/>
      <c r="E6" s="2"/>
      <c r="F6" s="2"/>
      <c r="G6" s="2"/>
      <c r="H6" s="2"/>
    </row>
    <row r="7" spans="1:15" ht="15" customHeight="1" thickBot="1" x14ac:dyDescent="0.25">
      <c r="A7" s="2">
        <v>2</v>
      </c>
      <c r="B7" s="1" t="s">
        <v>30</v>
      </c>
      <c r="D7" s="75">
        <v>23438</v>
      </c>
      <c r="E7" s="89"/>
      <c r="F7" s="74"/>
      <c r="H7" s="1" t="s">
        <v>77</v>
      </c>
      <c r="J7" s="103">
        <f>IF(DAY(D7)=1,D7,DATE(YEAR(D7),MONTH(D7)+1,1))</f>
        <v>23468</v>
      </c>
      <c r="K7" s="104"/>
      <c r="L7" s="7"/>
    </row>
    <row r="8" spans="1:15" ht="7.5" customHeight="1" thickBot="1" x14ac:dyDescent="0.25">
      <c r="A8" s="3"/>
      <c r="C8" s="2"/>
      <c r="D8" s="2"/>
      <c r="E8" s="2"/>
      <c r="F8" s="2"/>
      <c r="G8" s="2"/>
      <c r="H8" s="2"/>
    </row>
    <row r="9" spans="1:15" ht="15" thickBot="1" x14ac:dyDescent="0.25">
      <c r="A9" s="2">
        <v>3</v>
      </c>
      <c r="B9" s="1" t="s">
        <v>3</v>
      </c>
      <c r="C9" s="8" t="s">
        <v>4</v>
      </c>
    </row>
    <row r="10" spans="1:15" ht="7.5" customHeight="1" thickBot="1" x14ac:dyDescent="0.25">
      <c r="A10" s="3"/>
      <c r="C10" s="2"/>
      <c r="D10" s="2"/>
      <c r="E10" s="2"/>
      <c r="F10" s="2"/>
      <c r="G10" s="2"/>
      <c r="H10" s="2"/>
      <c r="O10" s="63"/>
    </row>
    <row r="11" spans="1:15" ht="15.75" customHeight="1" thickBot="1" x14ac:dyDescent="0.25">
      <c r="A11" s="2">
        <v>4</v>
      </c>
      <c r="B11" s="1" t="s">
        <v>17</v>
      </c>
      <c r="C11" s="73"/>
      <c r="D11" s="89"/>
      <c r="E11" s="74"/>
      <c r="F11" s="101" t="s">
        <v>19</v>
      </c>
      <c r="G11" s="102"/>
      <c r="H11" s="87" t="s">
        <v>22</v>
      </c>
      <c r="I11" s="88"/>
    </row>
    <row r="12" spans="1:15" ht="7.5" customHeight="1" thickBot="1" x14ac:dyDescent="0.25">
      <c r="A12" s="3"/>
      <c r="C12" s="2"/>
      <c r="D12" s="2"/>
      <c r="E12" s="2"/>
      <c r="F12" s="2"/>
      <c r="G12" s="2"/>
      <c r="H12" s="2"/>
    </row>
    <row r="13" spans="1:15" ht="15" thickBot="1" x14ac:dyDescent="0.25">
      <c r="A13" s="2">
        <v>5</v>
      </c>
      <c r="B13" s="1" t="s">
        <v>18</v>
      </c>
      <c r="C13" s="73"/>
      <c r="D13" s="89"/>
      <c r="E13" s="74"/>
    </row>
    <row r="14" spans="1:15" ht="7.5" customHeight="1" thickBot="1" x14ac:dyDescent="0.25">
      <c r="A14" s="3"/>
      <c r="C14" s="2"/>
      <c r="D14" s="2"/>
      <c r="E14" s="2"/>
      <c r="F14" s="2"/>
      <c r="G14" s="2"/>
      <c r="H14" s="2"/>
    </row>
    <row r="15" spans="1:15" ht="15" thickBot="1" x14ac:dyDescent="0.25">
      <c r="A15" s="2">
        <v>6</v>
      </c>
      <c r="B15" s="1" t="s">
        <v>7</v>
      </c>
      <c r="C15" s="87" t="s">
        <v>13</v>
      </c>
      <c r="D15" s="88"/>
    </row>
    <row r="16" spans="1:15" ht="7.5" customHeight="1" thickBot="1" x14ac:dyDescent="0.25">
      <c r="A16" s="3"/>
      <c r="C16" s="2"/>
      <c r="D16" s="2"/>
      <c r="E16" s="2"/>
      <c r="F16" s="2"/>
      <c r="G16" s="2"/>
      <c r="H16" s="2"/>
    </row>
    <row r="17" spans="1:13" ht="15.75" customHeight="1" thickBot="1" x14ac:dyDescent="0.25">
      <c r="B17" s="1" t="s">
        <v>16</v>
      </c>
      <c r="D17" s="73"/>
      <c r="E17" s="89"/>
      <c r="F17" s="89"/>
      <c r="G17" s="89"/>
      <c r="H17" s="89"/>
      <c r="I17" s="89"/>
      <c r="J17" s="89"/>
      <c r="K17" s="74"/>
    </row>
    <row r="18" spans="1:13" ht="7.5" customHeight="1" thickBot="1" x14ac:dyDescent="0.25">
      <c r="A18" s="3"/>
      <c r="C18" s="2"/>
      <c r="D18" s="2"/>
      <c r="E18" s="2"/>
      <c r="F18" s="2"/>
      <c r="G18" s="2"/>
      <c r="H18" s="2"/>
    </row>
    <row r="19" spans="1:13" ht="15" thickBot="1" x14ac:dyDescent="0.25">
      <c r="A19" s="2">
        <v>7</v>
      </c>
      <c r="B19" s="1" t="s">
        <v>32</v>
      </c>
      <c r="D19" s="8">
        <v>33</v>
      </c>
      <c r="E19" s="2" t="s">
        <v>33</v>
      </c>
      <c r="F19" s="8">
        <v>2</v>
      </c>
      <c r="G19" s="2" t="s">
        <v>34</v>
      </c>
      <c r="I19" s="1" t="s">
        <v>90</v>
      </c>
      <c r="L19" s="53">
        <f>IF(F19&gt;6,D19-20+1,IF(F19=0,D19-20,D19-20+0.5))</f>
        <v>13.5</v>
      </c>
      <c r="M19" s="3" t="s">
        <v>33</v>
      </c>
    </row>
    <row r="20" spans="1:13" ht="7.5" customHeight="1" thickBot="1" x14ac:dyDescent="0.25">
      <c r="A20" s="3"/>
      <c r="C20" s="2"/>
      <c r="D20" s="2"/>
      <c r="E20" s="2"/>
      <c r="F20" s="2"/>
      <c r="G20" s="2"/>
      <c r="H20" s="2"/>
    </row>
    <row r="21" spans="1:13" ht="15" thickBot="1" x14ac:dyDescent="0.25">
      <c r="A21" s="2">
        <v>8</v>
      </c>
      <c r="B21" s="1" t="s">
        <v>35</v>
      </c>
      <c r="D21" s="99">
        <v>45200</v>
      </c>
      <c r="E21" s="100"/>
      <c r="F21" s="88"/>
    </row>
    <row r="22" spans="1:13" ht="8.25" customHeight="1" thickBot="1" x14ac:dyDescent="0.25"/>
    <row r="23" spans="1:13" ht="15" thickBot="1" x14ac:dyDescent="0.25">
      <c r="A23" s="2">
        <v>9</v>
      </c>
      <c r="B23" s="1" t="s">
        <v>36</v>
      </c>
      <c r="G23" s="54">
        <f>DATEDIF(D7,D21,"Y")</f>
        <v>59</v>
      </c>
      <c r="H23" s="2" t="s">
        <v>37</v>
      </c>
      <c r="I23" s="54">
        <f>DATEDIF(D7,D21,"YM")</f>
        <v>6</v>
      </c>
      <c r="J23" s="2" t="s">
        <v>34</v>
      </c>
    </row>
    <row r="24" spans="1:13" ht="8.25" customHeight="1" thickBot="1" x14ac:dyDescent="0.25"/>
    <row r="25" spans="1:13" ht="15" thickBot="1" x14ac:dyDescent="0.25">
      <c r="A25" s="2">
        <v>10</v>
      </c>
      <c r="B25" s="1" t="s">
        <v>38</v>
      </c>
      <c r="F25" s="1" t="s">
        <v>39</v>
      </c>
      <c r="I25" s="87" t="s">
        <v>41</v>
      </c>
      <c r="J25" s="88"/>
    </row>
    <row r="26" spans="1:13" ht="8.25" customHeight="1" thickBot="1" x14ac:dyDescent="0.25"/>
    <row r="27" spans="1:13" ht="15.75" customHeight="1" thickBot="1" x14ac:dyDescent="0.25">
      <c r="E27" s="1" t="s">
        <v>43</v>
      </c>
      <c r="J27" s="105" t="str">
        <f>IF(AND(C9='Dữ liệu nền'!$B$2,'CB,CC'!I25='Dữ liệu nền'!$B$13),VLOOKUP('CB,CC'!J7,'Dữ liệu nền'!$J$3:$M$10,4,TRUE),IF(AND('CB,CC'!C9='Dữ liệu nền'!$B$3,'CB,CC'!I25='Dữ liệu nền'!$B$13),VLOOKUP('CB,CC'!J7,'Dữ liệu nền'!$J$11:$M$25,4,TRUE),IF(AND('CB,CC'!C9='Dữ liệu nền'!$B$2,'CB,CC'!I25='Dữ liệu nền'!$B$14),VLOOKUP('CB,CC'!J7,'Dữ liệu nền'!$J$26:$M$33,4,TRUE),VLOOKUP('CB,CC'!J7,'Dữ liệu nền'!$J$34:$M$48,4,TRUE))))</f>
        <v>61 tuổi 03 tháng</v>
      </c>
      <c r="K27" s="106"/>
    </row>
    <row r="28" spans="1:13" ht="8.25" customHeight="1" thickBot="1" x14ac:dyDescent="0.25"/>
    <row r="29" spans="1:13" ht="15" thickBot="1" x14ac:dyDescent="0.25">
      <c r="A29" s="2">
        <v>11</v>
      </c>
      <c r="B29" s="1" t="s">
        <v>82</v>
      </c>
      <c r="F29" s="55">
        <f>IF((VALUE(MID(J27,9,2))-I23)&lt;0,(VALUE(LEFT(J27,2)-G23))-1,(VALUE(LEFT(J27,2)-G23)))</f>
        <v>1</v>
      </c>
      <c r="G29" s="2" t="s">
        <v>33</v>
      </c>
      <c r="H29" s="55">
        <f>IF((VALUE(MID(J27,9,2))-I23)&lt;0,12+(VALUE(MID(J27,9,2))-I23),(VALUE(MID(J27,9,2))-I23))</f>
        <v>9</v>
      </c>
      <c r="I29" s="21" t="s">
        <v>110</v>
      </c>
      <c r="J29" s="1" t="s">
        <v>111</v>
      </c>
      <c r="L29" s="53">
        <f>IF(H29&gt;6,F29+1,IF(H29=0,F29,F29+0.5))</f>
        <v>2</v>
      </c>
      <c r="M29" s="2" t="s">
        <v>33</v>
      </c>
    </row>
    <row r="30" spans="1:13" ht="8.25" customHeight="1" thickBot="1" x14ac:dyDescent="0.25"/>
    <row r="31" spans="1:13" ht="15.75" customHeight="1" thickBot="1" x14ac:dyDescent="0.25">
      <c r="A31" s="2">
        <v>12</v>
      </c>
      <c r="B31" s="1" t="s">
        <v>78</v>
      </c>
      <c r="E31" s="1" t="s">
        <v>79</v>
      </c>
      <c r="H31" s="54" t="str">
        <f>IF(AND(C9='Dữ liệu nền'!$B$3,OR('CB,CC'!H11:I11='Dữ liệu nền'!$E$5,'CB,CC'!H11:I11='Dữ liệu nền'!$E$6),'CB,CC'!D19&gt;14,'CB,CC'!D19&lt;20,OR('CB,CC'!F29&lt;10,AND('CB,CC'!F29=10,'CB,CC'!H29=0))),"x",IF(AND(OR(D19=20,D19&gt;20),OR(F29&lt;5,AND(F29=5,H29=0))),"x","Không"))</f>
        <v>x</v>
      </c>
      <c r="J31" s="1" t="s">
        <v>81</v>
      </c>
      <c r="K31" s="78" t="str">
        <f>IF(AND(H31="x",F29&lt;2),"Không hưởng trợ cấp",IF(H31="Không","Không hưởng trợ cấp","Hưởng trợ cấp"))</f>
        <v>Không hưởng trợ cấp</v>
      </c>
      <c r="L31" s="79"/>
    </row>
    <row r="32" spans="1:13" ht="8.25" customHeight="1" thickBot="1" x14ac:dyDescent="0.25">
      <c r="H32" s="2"/>
    </row>
    <row r="33" spans="1:14" ht="15" thickBot="1" x14ac:dyDescent="0.25">
      <c r="E33" s="1" t="s">
        <v>80</v>
      </c>
      <c r="H33" s="54" t="str">
        <f>IF(AND(H31="Không",F29&lt;2),"Không",IF(H31="Không","x","Không"))</f>
        <v>Không</v>
      </c>
    </row>
    <row r="34" spans="1:14" ht="8.25" customHeight="1" thickBot="1" x14ac:dyDescent="0.25">
      <c r="H34" s="2"/>
    </row>
    <row r="35" spans="1:14" s="35" customFormat="1" ht="78.75" customHeight="1" thickBot="1" x14ac:dyDescent="0.3">
      <c r="A35" s="34">
        <v>13</v>
      </c>
      <c r="B35" s="35" t="s">
        <v>133</v>
      </c>
      <c r="F35" s="107" t="s">
        <v>143</v>
      </c>
      <c r="G35" s="108"/>
      <c r="H35" s="108"/>
      <c r="I35" s="108"/>
      <c r="J35" s="108"/>
      <c r="K35" s="108"/>
      <c r="L35" s="108"/>
      <c r="M35" s="108"/>
      <c r="N35" s="109"/>
    </row>
    <row r="36" spans="1:14" ht="8.25" customHeight="1" thickBot="1" x14ac:dyDescent="0.25">
      <c r="H36" s="2"/>
    </row>
    <row r="37" spans="1:14" ht="15" thickBot="1" x14ac:dyDescent="0.25">
      <c r="B37" s="1" t="s">
        <v>160</v>
      </c>
      <c r="C37" s="2"/>
      <c r="E37" s="1" t="s">
        <v>134</v>
      </c>
      <c r="H37" s="2"/>
      <c r="I37" s="1" t="s">
        <v>135</v>
      </c>
      <c r="J37" s="73"/>
      <c r="K37" s="74"/>
    </row>
    <row r="38" spans="1:14" ht="8.25" customHeight="1" thickBot="1" x14ac:dyDescent="0.25">
      <c r="H38" s="2"/>
    </row>
    <row r="39" spans="1:14" ht="15" thickBot="1" x14ac:dyDescent="0.25">
      <c r="H39" s="2"/>
      <c r="I39" s="1" t="s">
        <v>136</v>
      </c>
      <c r="K39" s="29"/>
    </row>
    <row r="40" spans="1:14" ht="8.25" customHeight="1" thickBot="1" x14ac:dyDescent="0.25">
      <c r="H40" s="2"/>
    </row>
    <row r="41" spans="1:14" ht="15" customHeight="1" thickBot="1" x14ac:dyDescent="0.25">
      <c r="E41" s="1" t="s">
        <v>137</v>
      </c>
      <c r="H41" s="2"/>
      <c r="I41" s="1" t="s">
        <v>135</v>
      </c>
      <c r="J41" s="73"/>
      <c r="K41" s="74"/>
    </row>
    <row r="42" spans="1:14" ht="8.25" customHeight="1" thickBot="1" x14ac:dyDescent="0.25">
      <c r="H42" s="2"/>
    </row>
    <row r="43" spans="1:14" ht="15" thickBot="1" x14ac:dyDescent="0.25">
      <c r="H43" s="2"/>
      <c r="I43" s="1" t="s">
        <v>136</v>
      </c>
      <c r="K43" s="29"/>
    </row>
    <row r="44" spans="1:14" ht="8.25" customHeight="1" thickBot="1" x14ac:dyDescent="0.25">
      <c r="H44" s="2"/>
    </row>
    <row r="45" spans="1:14" ht="15" customHeight="1" thickBot="1" x14ac:dyDescent="0.25">
      <c r="E45" s="1" t="s">
        <v>138</v>
      </c>
      <c r="G45" s="1" t="s">
        <v>139</v>
      </c>
      <c r="H45" s="2"/>
      <c r="I45" s="29"/>
      <c r="K45" s="1" t="s">
        <v>140</v>
      </c>
      <c r="L45" s="29"/>
    </row>
    <row r="46" spans="1:14" ht="8.25" customHeight="1" thickBot="1" x14ac:dyDescent="0.25">
      <c r="H46" s="2"/>
    </row>
    <row r="47" spans="1:14" ht="15" thickBot="1" x14ac:dyDescent="0.25">
      <c r="G47" s="1" t="s">
        <v>141</v>
      </c>
      <c r="H47" s="2"/>
      <c r="I47" s="53">
        <f>L45-I45</f>
        <v>0</v>
      </c>
    </row>
    <row r="48" spans="1:14" ht="8.25" customHeight="1" thickBot="1" x14ac:dyDescent="0.25">
      <c r="H48" s="2"/>
    </row>
    <row r="49" spans="5:14" ht="15.75" customHeight="1" thickBot="1" x14ac:dyDescent="0.25">
      <c r="E49" s="1" t="s">
        <v>162</v>
      </c>
      <c r="H49" s="29" t="s">
        <v>31</v>
      </c>
      <c r="J49" s="1" t="s">
        <v>163</v>
      </c>
      <c r="K49" s="73"/>
      <c r="L49" s="74"/>
    </row>
    <row r="50" spans="5:14" ht="8.25" customHeight="1" thickBot="1" x14ac:dyDescent="0.25">
      <c r="H50" s="2"/>
    </row>
    <row r="51" spans="5:14" ht="15" thickBot="1" x14ac:dyDescent="0.25">
      <c r="E51" s="1" t="s">
        <v>161</v>
      </c>
      <c r="G51" s="73" t="s">
        <v>31</v>
      </c>
      <c r="H51" s="74"/>
    </row>
    <row r="52" spans="5:14" ht="8.25" customHeight="1" thickBot="1" x14ac:dyDescent="0.25">
      <c r="H52" s="2"/>
    </row>
    <row r="53" spans="5:14" ht="15.75" customHeight="1" thickBot="1" x14ac:dyDescent="0.25">
      <c r="E53" s="1" t="s">
        <v>164</v>
      </c>
      <c r="G53" s="1" t="s">
        <v>165</v>
      </c>
      <c r="H53" s="2"/>
      <c r="K53" s="1" t="s">
        <v>166</v>
      </c>
      <c r="L53" s="73" t="s">
        <v>143</v>
      </c>
      <c r="M53" s="89"/>
      <c r="N53" s="74"/>
    </row>
    <row r="54" spans="5:14" ht="8.25" customHeight="1" thickBot="1" x14ac:dyDescent="0.25">
      <c r="H54" s="2"/>
    </row>
    <row r="55" spans="5:14" ht="15" thickBot="1" x14ac:dyDescent="0.25">
      <c r="H55" s="2"/>
      <c r="K55" s="1" t="s">
        <v>167</v>
      </c>
      <c r="L55" s="78">
        <f>IF(L53='Dữ liệu nền'!B46, ,IF(L53='Dữ liệu nền'!B47,'Dữ liệu nền'!B48,'Dữ liệu nền'!B47))</f>
        <v>0</v>
      </c>
      <c r="M55" s="94"/>
      <c r="N55" s="79"/>
    </row>
    <row r="56" spans="5:14" ht="8.25" customHeight="1" thickBot="1" x14ac:dyDescent="0.25">
      <c r="H56" s="2"/>
    </row>
    <row r="57" spans="5:14" ht="15" thickBot="1" x14ac:dyDescent="0.25">
      <c r="G57" s="1" t="s">
        <v>168</v>
      </c>
      <c r="H57" s="2"/>
      <c r="K57" s="73" t="s">
        <v>143</v>
      </c>
      <c r="L57" s="89"/>
      <c r="M57" s="89"/>
      <c r="N57" s="74"/>
    </row>
    <row r="58" spans="5:14" ht="8.25" customHeight="1" thickBot="1" x14ac:dyDescent="0.25">
      <c r="H58" s="2"/>
    </row>
    <row r="59" spans="5:14" ht="15" thickBot="1" x14ac:dyDescent="0.25">
      <c r="E59" s="1" t="s">
        <v>172</v>
      </c>
      <c r="H59" s="2"/>
      <c r="J59" s="73" t="s">
        <v>143</v>
      </c>
      <c r="K59" s="74"/>
    </row>
    <row r="60" spans="5:14" ht="8.25" customHeight="1" thickBot="1" x14ac:dyDescent="0.25">
      <c r="H60" s="2"/>
    </row>
    <row r="61" spans="5:14" ht="15" thickBot="1" x14ac:dyDescent="0.25">
      <c r="E61" s="1" t="s">
        <v>181</v>
      </c>
      <c r="H61" s="2"/>
      <c r="J61" s="1" t="s">
        <v>182</v>
      </c>
      <c r="K61" s="54">
        <f>IF(I25='Dữ liệu nền'!$B$14,"Không",IF(D19&lt;15,VLOOKUP(I25,'Dữ liệu nền'!$B$13:$E$14,2,TRUE),IF(AND(D19&gt;14,D19&lt;30),VLOOKUP(I25,'Dữ liệu nền'!$B$13:$E$14,3,TRUE),VLOOKUP(I25,'Dữ liệu nền'!$B$13:$E$14,3,TRUE))))</f>
        <v>40</v>
      </c>
      <c r="L61" s="49" t="s">
        <v>183</v>
      </c>
      <c r="M61" s="105" t="str">
        <f>IF(I25='Dữ liệu nền'!$B$13,"Không",IF(D19&lt;15,VLOOKUP(I25,'Dữ liệu nền'!$B$13:$E$14,2,TRUE),IF(AND(D19&gt;14,D19&lt;30),VLOOKUP(I25,'Dữ liệu nền'!$B$13:$E$14,3,TRUE),VLOOKUP(I25,'Dữ liệu nền'!$B$13:$E$14,3,TRUE))))</f>
        <v>Không</v>
      </c>
      <c r="N61" s="106"/>
    </row>
    <row r="62" spans="5:14" ht="8.25" customHeight="1" thickBot="1" x14ac:dyDescent="0.25">
      <c r="H62" s="2"/>
    </row>
    <row r="63" spans="5:14" ht="15" thickBot="1" x14ac:dyDescent="0.25">
      <c r="E63" s="1" t="s">
        <v>184</v>
      </c>
      <c r="H63" s="2"/>
      <c r="I63" s="1" t="s">
        <v>166</v>
      </c>
      <c r="J63" s="28"/>
      <c r="K63" s="1" t="s">
        <v>186</v>
      </c>
    </row>
    <row r="64" spans="5:14" ht="8.25" customHeight="1" thickBot="1" x14ac:dyDescent="0.25">
      <c r="H64" s="2"/>
    </row>
    <row r="65" spans="1:13" ht="15" thickBot="1" x14ac:dyDescent="0.25">
      <c r="H65" s="2"/>
      <c r="I65" s="1" t="s">
        <v>167</v>
      </c>
      <c r="J65" s="28"/>
      <c r="K65" s="1" t="s">
        <v>186</v>
      </c>
      <c r="M65" s="2"/>
    </row>
    <row r="66" spans="1:13" ht="8.25" customHeight="1" thickBot="1" x14ac:dyDescent="0.25">
      <c r="H66" s="2"/>
    </row>
    <row r="67" spans="1:13" ht="15" thickBot="1" x14ac:dyDescent="0.25">
      <c r="E67" s="1" t="s">
        <v>185</v>
      </c>
      <c r="H67" s="2"/>
      <c r="I67" s="28"/>
      <c r="J67" s="1" t="s">
        <v>186</v>
      </c>
    </row>
    <row r="68" spans="1:13" ht="8.25" customHeight="1" thickBot="1" x14ac:dyDescent="0.25">
      <c r="H68" s="2"/>
    </row>
    <row r="69" spans="1:13" ht="15" thickBot="1" x14ac:dyDescent="0.25">
      <c r="E69" s="1" t="s">
        <v>142</v>
      </c>
      <c r="H69" s="2"/>
      <c r="K69" s="28" t="s">
        <v>143</v>
      </c>
    </row>
    <row r="70" spans="1:13" ht="8.25" customHeight="1" thickBot="1" x14ac:dyDescent="0.25">
      <c r="H70" s="2"/>
    </row>
    <row r="71" spans="1:13" ht="15" thickBot="1" x14ac:dyDescent="0.25">
      <c r="A71" s="2">
        <v>14</v>
      </c>
      <c r="B71" s="1" t="s">
        <v>101</v>
      </c>
      <c r="D71" s="1" t="s">
        <v>94</v>
      </c>
      <c r="F71" s="28">
        <v>7.64</v>
      </c>
      <c r="H71" s="22" t="s">
        <v>95</v>
      </c>
      <c r="J71" s="28">
        <v>0.8</v>
      </c>
    </row>
    <row r="72" spans="1:13" ht="8.25" customHeight="1" thickBot="1" x14ac:dyDescent="0.25">
      <c r="H72" s="2"/>
    </row>
    <row r="73" spans="1:13" ht="15" thickBot="1" x14ac:dyDescent="0.25">
      <c r="D73" s="1" t="s">
        <v>96</v>
      </c>
      <c r="H73" s="2"/>
      <c r="I73" s="28"/>
    </row>
    <row r="74" spans="1:13" ht="8.25" customHeight="1" thickBot="1" x14ac:dyDescent="0.25">
      <c r="H74" s="2"/>
    </row>
    <row r="75" spans="1:13" ht="15" thickBot="1" x14ac:dyDescent="0.25">
      <c r="D75" s="1" t="s">
        <v>97</v>
      </c>
      <c r="H75" s="29"/>
    </row>
    <row r="76" spans="1:13" ht="8.25" customHeight="1" thickBot="1" x14ac:dyDescent="0.25">
      <c r="H76" s="2"/>
    </row>
    <row r="77" spans="1:13" ht="15" thickBot="1" x14ac:dyDescent="0.25">
      <c r="D77" s="1" t="s">
        <v>98</v>
      </c>
      <c r="H77" s="2"/>
      <c r="I77" s="28"/>
    </row>
    <row r="78" spans="1:13" ht="8.25" customHeight="1" thickBot="1" x14ac:dyDescent="0.25">
      <c r="H78" s="2"/>
    </row>
    <row r="79" spans="1:13" ht="15" thickBot="1" x14ac:dyDescent="0.25">
      <c r="D79" s="1" t="s">
        <v>129</v>
      </c>
      <c r="G79" s="78">
        <f>F71+J71+I73+H75*F71+I77*F71</f>
        <v>8.44</v>
      </c>
      <c r="H79" s="79"/>
    </row>
    <row r="80" spans="1:13" ht="8.25" customHeight="1" thickBot="1" x14ac:dyDescent="0.25">
      <c r="H80" s="2"/>
    </row>
    <row r="81" spans="1:13" ht="15" thickBot="1" x14ac:dyDescent="0.25">
      <c r="D81" s="1" t="s">
        <v>100</v>
      </c>
      <c r="H81" s="2"/>
      <c r="I81" s="56">
        <f>VLOOKUP(DATE(YEAR(D21),MONTH(D21)-1,DAY(D21)),'Dữ liệu nền'!$B$16:$C$24,2,TRUE)</f>
        <v>1800000</v>
      </c>
    </row>
    <row r="82" spans="1:13" ht="8.25" customHeight="1" thickBot="1" x14ac:dyDescent="0.25">
      <c r="H82" s="2"/>
    </row>
    <row r="83" spans="1:13" ht="15" thickBot="1" x14ac:dyDescent="0.25">
      <c r="D83" s="1" t="s">
        <v>101</v>
      </c>
      <c r="G83" s="110">
        <f>G79*I81</f>
        <v>15192000</v>
      </c>
      <c r="H83" s="94"/>
      <c r="I83" s="79"/>
      <c r="J83" s="1" t="s">
        <v>116</v>
      </c>
    </row>
    <row r="84" spans="1:13" ht="8.25" customHeight="1" x14ac:dyDescent="0.2">
      <c r="H84" s="2"/>
    </row>
    <row r="85" spans="1:13" x14ac:dyDescent="0.2">
      <c r="A85" s="2">
        <v>15</v>
      </c>
      <c r="B85" s="1" t="s">
        <v>102</v>
      </c>
    </row>
    <row r="86" spans="1:13" ht="8.25" customHeight="1" x14ac:dyDescent="0.2">
      <c r="H86" s="2"/>
    </row>
    <row r="87" spans="1:13" s="9" customFormat="1" ht="99.75" x14ac:dyDescent="0.25">
      <c r="A87" s="11" t="s">
        <v>92</v>
      </c>
      <c r="B87" s="11" t="s">
        <v>93</v>
      </c>
      <c r="C87" s="11" t="s">
        <v>94</v>
      </c>
      <c r="D87" s="11" t="s">
        <v>95</v>
      </c>
      <c r="E87" s="11" t="s">
        <v>96</v>
      </c>
      <c r="F87" s="11" t="s">
        <v>97</v>
      </c>
      <c r="G87" s="11" t="s">
        <v>98</v>
      </c>
      <c r="H87" s="12" t="s">
        <v>99</v>
      </c>
      <c r="I87" s="12" t="s">
        <v>100</v>
      </c>
      <c r="J87" s="12" t="s">
        <v>101</v>
      </c>
      <c r="K87" s="12" t="s">
        <v>103</v>
      </c>
      <c r="L87" s="12" t="s">
        <v>104</v>
      </c>
      <c r="M87" s="95" t="s">
        <v>121</v>
      </c>
    </row>
    <row r="88" spans="1:13" x14ac:dyDescent="0.2">
      <c r="A88" s="13">
        <v>1</v>
      </c>
      <c r="B88" s="57">
        <f>DATE(YEAR(D21)-5,MONTH(D21),DAY(D21))</f>
        <v>43374</v>
      </c>
      <c r="C88" s="64">
        <v>6.92</v>
      </c>
      <c r="D88" s="13">
        <v>0.8</v>
      </c>
      <c r="E88" s="13"/>
      <c r="F88" s="14"/>
      <c r="G88" s="14"/>
      <c r="H88" s="58">
        <f>C88+D88+E88+F88*C88+G88*C88</f>
        <v>7.72</v>
      </c>
      <c r="I88" s="59">
        <f>VLOOKUP(B88,'Dữ liệu nền'!B16:C24,2,TRUE)</f>
        <v>1390000</v>
      </c>
      <c r="J88" s="59">
        <f>I88*H88</f>
        <v>10730800</v>
      </c>
      <c r="K88" s="23"/>
      <c r="L88" s="59">
        <f>J88*K89</f>
        <v>85846400</v>
      </c>
      <c r="M88" s="95"/>
    </row>
    <row r="89" spans="1:13" x14ac:dyDescent="0.2">
      <c r="A89" s="13">
        <v>2</v>
      </c>
      <c r="B89" s="15">
        <v>43617</v>
      </c>
      <c r="C89" s="13">
        <v>7.28</v>
      </c>
      <c r="D89" s="13">
        <v>0.8</v>
      </c>
      <c r="E89" s="13"/>
      <c r="F89" s="14"/>
      <c r="G89" s="14"/>
      <c r="H89" s="58">
        <f t="shared" ref="H89:H93" si="0">C89+D89+E89+F89*C89+G89*C89</f>
        <v>8.08</v>
      </c>
      <c r="I89" s="59">
        <f>VLOOKUP(B89,'Dữ liệu nền'!B17:C25,2,TRUE)</f>
        <v>1390000</v>
      </c>
      <c r="J89" s="59">
        <f t="shared" ref="J89:J93" si="1">I89*H89</f>
        <v>11231200</v>
      </c>
      <c r="K89" s="59">
        <f>DATEDIF(B88,B89,"m")</f>
        <v>8</v>
      </c>
      <c r="L89" s="59">
        <f t="shared" ref="L89:L93" si="2">J89*K90</f>
        <v>11231200</v>
      </c>
      <c r="M89" s="95"/>
    </row>
    <row r="90" spans="1:13" x14ac:dyDescent="0.2">
      <c r="A90" s="13">
        <v>3</v>
      </c>
      <c r="B90" s="15">
        <v>43647</v>
      </c>
      <c r="C90" s="13">
        <v>7.28</v>
      </c>
      <c r="D90" s="13">
        <v>0.8</v>
      </c>
      <c r="E90" s="13"/>
      <c r="F90" s="14"/>
      <c r="G90" s="14"/>
      <c r="H90" s="58">
        <f t="shared" si="0"/>
        <v>8.08</v>
      </c>
      <c r="I90" s="59">
        <f>VLOOKUP(B90,'Dữ liệu nền'!B18:C26,2,TRUE)</f>
        <v>1490000</v>
      </c>
      <c r="J90" s="59">
        <f t="shared" si="1"/>
        <v>12039200</v>
      </c>
      <c r="K90" s="59">
        <f t="shared" ref="K90:K93" si="3">DATEDIF(B89,B90,"m")</f>
        <v>1</v>
      </c>
      <c r="L90" s="59">
        <f t="shared" si="2"/>
        <v>421372000</v>
      </c>
      <c r="M90" s="95"/>
    </row>
    <row r="91" spans="1:13" x14ac:dyDescent="0.2">
      <c r="A91" s="13">
        <v>4</v>
      </c>
      <c r="B91" s="15">
        <v>44713</v>
      </c>
      <c r="C91" s="13">
        <v>7.64</v>
      </c>
      <c r="D91" s="13">
        <v>0.8</v>
      </c>
      <c r="E91" s="13"/>
      <c r="F91" s="14"/>
      <c r="G91" s="14"/>
      <c r="H91" s="58">
        <f t="shared" si="0"/>
        <v>8.44</v>
      </c>
      <c r="I91" s="59">
        <f>VLOOKUP(B91,'Dữ liệu nền'!B19:C27,2,TRUE)</f>
        <v>1490000</v>
      </c>
      <c r="J91" s="59">
        <f t="shared" si="1"/>
        <v>12575600</v>
      </c>
      <c r="K91" s="59">
        <f t="shared" si="3"/>
        <v>35</v>
      </c>
      <c r="L91" s="59">
        <f t="shared" si="2"/>
        <v>163482800</v>
      </c>
      <c r="M91" s="95"/>
    </row>
    <row r="92" spans="1:13" x14ac:dyDescent="0.2">
      <c r="A92" s="13">
        <v>5</v>
      </c>
      <c r="B92" s="15">
        <v>45108</v>
      </c>
      <c r="C92" s="13">
        <v>7.64</v>
      </c>
      <c r="D92" s="13">
        <v>0.8</v>
      </c>
      <c r="E92" s="13"/>
      <c r="F92" s="14"/>
      <c r="G92" s="14"/>
      <c r="H92" s="58">
        <f t="shared" si="0"/>
        <v>8.44</v>
      </c>
      <c r="I92" s="59">
        <f>VLOOKUP(B92,'Dữ liệu nền'!B20:C28,2,TRUE)</f>
        <v>1800000</v>
      </c>
      <c r="J92" s="59">
        <f t="shared" si="1"/>
        <v>15192000</v>
      </c>
      <c r="K92" s="59">
        <f t="shared" si="3"/>
        <v>13</v>
      </c>
      <c r="L92" s="59">
        <f t="shared" si="2"/>
        <v>45576000</v>
      </c>
      <c r="M92" s="95"/>
    </row>
    <row r="93" spans="1:13" x14ac:dyDescent="0.2">
      <c r="A93" s="13">
        <v>6</v>
      </c>
      <c r="B93" s="15">
        <v>45200</v>
      </c>
      <c r="C93" s="13">
        <v>7.64</v>
      </c>
      <c r="D93" s="13">
        <v>0.8</v>
      </c>
      <c r="E93" s="13"/>
      <c r="F93" s="14"/>
      <c r="G93" s="14"/>
      <c r="H93" s="58">
        <f t="shared" si="0"/>
        <v>8.44</v>
      </c>
      <c r="I93" s="59">
        <f>VLOOKUP(B93,'Dữ liệu nền'!B21:C29,2,TRUE)</f>
        <v>1800000</v>
      </c>
      <c r="J93" s="59">
        <f t="shared" si="1"/>
        <v>15192000</v>
      </c>
      <c r="K93" s="59">
        <f t="shared" si="3"/>
        <v>3</v>
      </c>
      <c r="L93" s="59">
        <f t="shared" si="2"/>
        <v>0</v>
      </c>
      <c r="M93" s="95"/>
    </row>
    <row r="94" spans="1:13" x14ac:dyDescent="0.2">
      <c r="A94" s="13">
        <v>7</v>
      </c>
      <c r="B94" s="15">
        <v>45200</v>
      </c>
      <c r="C94" s="13"/>
      <c r="D94" s="13"/>
      <c r="E94" s="13"/>
      <c r="F94" s="14"/>
      <c r="G94" s="14"/>
      <c r="H94" s="58">
        <f t="shared" ref="H94:H96" si="4">C94+D94+E94+F94*C94+G94*C94</f>
        <v>0</v>
      </c>
      <c r="I94" s="59">
        <f>VLOOKUP(B94,'Dữ liệu nền'!B22:C30,2,TRUE)</f>
        <v>1800000</v>
      </c>
      <c r="J94" s="59">
        <f t="shared" ref="J94:J96" si="5">I94*H94</f>
        <v>0</v>
      </c>
      <c r="K94" s="59">
        <f t="shared" ref="K94:K96" si="6">DATEDIF(B93,B94,"m")</f>
        <v>0</v>
      </c>
      <c r="L94" s="59">
        <f t="shared" ref="L94:L95" si="7">J94*K95</f>
        <v>0</v>
      </c>
      <c r="M94" s="95"/>
    </row>
    <row r="95" spans="1:13" x14ac:dyDescent="0.2">
      <c r="A95" s="13">
        <v>8</v>
      </c>
      <c r="B95" s="15">
        <v>45200</v>
      </c>
      <c r="C95" s="13"/>
      <c r="D95" s="13"/>
      <c r="E95" s="13"/>
      <c r="F95" s="14"/>
      <c r="G95" s="14"/>
      <c r="H95" s="58">
        <f t="shared" si="4"/>
        <v>0</v>
      </c>
      <c r="I95" s="59">
        <f>VLOOKUP(B95,'Dữ liệu nền'!B23:C31,2,TRUE)</f>
        <v>1800000</v>
      </c>
      <c r="J95" s="59">
        <f t="shared" si="5"/>
        <v>0</v>
      </c>
      <c r="K95" s="59">
        <f t="shared" si="6"/>
        <v>0</v>
      </c>
      <c r="L95" s="59">
        <f t="shared" si="7"/>
        <v>0</v>
      </c>
      <c r="M95" s="95"/>
    </row>
    <row r="96" spans="1:13" x14ac:dyDescent="0.2">
      <c r="A96" s="13">
        <v>9</v>
      </c>
      <c r="B96" s="57">
        <f>D21</f>
        <v>45200</v>
      </c>
      <c r="C96" s="13"/>
      <c r="D96" s="13"/>
      <c r="E96" s="13"/>
      <c r="F96" s="14"/>
      <c r="G96" s="14"/>
      <c r="H96" s="58">
        <f t="shared" si="4"/>
        <v>0</v>
      </c>
      <c r="I96" s="59">
        <f>VLOOKUP(B96,'Dữ liệu nền'!B24:C32,2,TRUE)</f>
        <v>1800000</v>
      </c>
      <c r="J96" s="59">
        <f t="shared" si="5"/>
        <v>0</v>
      </c>
      <c r="K96" s="59">
        <f t="shared" si="6"/>
        <v>0</v>
      </c>
      <c r="L96" s="23"/>
      <c r="M96" s="95"/>
    </row>
    <row r="97" spans="1:13" ht="15" x14ac:dyDescent="0.25">
      <c r="A97" s="18"/>
      <c r="B97" s="19" t="s">
        <v>105</v>
      </c>
      <c r="C97" s="20"/>
      <c r="D97" s="20"/>
      <c r="E97" s="20"/>
      <c r="F97" s="20"/>
      <c r="G97" s="20"/>
      <c r="H97" s="24"/>
      <c r="I97" s="24"/>
      <c r="J97" s="24"/>
      <c r="K97" s="60">
        <f>SUM(K89:K96)</f>
        <v>60</v>
      </c>
      <c r="L97" s="60">
        <f>SUM(L88:L96)</f>
        <v>727508400</v>
      </c>
      <c r="M97" s="95"/>
    </row>
    <row r="98" spans="1:13" ht="15" x14ac:dyDescent="0.25">
      <c r="A98" s="16"/>
      <c r="B98" s="17" t="s">
        <v>106</v>
      </c>
      <c r="C98" s="6"/>
      <c r="D98" s="6"/>
      <c r="E98" s="6"/>
      <c r="F98" s="6"/>
      <c r="G98" s="6"/>
      <c r="H98" s="25"/>
      <c r="I98" s="25"/>
      <c r="J98" s="25"/>
      <c r="K98" s="25"/>
      <c r="L98" s="59">
        <f>L97/K97</f>
        <v>12125140</v>
      </c>
      <c r="M98" s="95"/>
    </row>
    <row r="99" spans="1:13" ht="8.25" customHeight="1" thickBot="1" x14ac:dyDescent="0.25">
      <c r="H99" s="2"/>
    </row>
    <row r="100" spans="1:13" s="10" customFormat="1" ht="15.75" thickBot="1" x14ac:dyDescent="0.3">
      <c r="A100" s="5" t="s">
        <v>190</v>
      </c>
      <c r="B100" s="10" t="s">
        <v>107</v>
      </c>
      <c r="E100" s="80">
        <f>IF(H31="Không","Không",J102+L104+I106)</f>
        <v>215221235</v>
      </c>
      <c r="F100" s="81"/>
      <c r="G100" s="82" t="s">
        <v>116</v>
      </c>
      <c r="H100" s="83"/>
      <c r="I100" s="84" t="s">
        <v>117</v>
      </c>
      <c r="J100" s="86"/>
    </row>
    <row r="101" spans="1:13" ht="8.25" customHeight="1" thickBot="1" x14ac:dyDescent="0.25">
      <c r="H101" s="2"/>
    </row>
    <row r="102" spans="1:13" ht="15" thickBot="1" x14ac:dyDescent="0.25">
      <c r="A102" s="2" t="s">
        <v>108</v>
      </c>
      <c r="B102" s="1" t="s">
        <v>109</v>
      </c>
      <c r="J102" s="61">
        <f>IF(H31="Không","Không",$L$98*3*$L$29)</f>
        <v>72750840</v>
      </c>
      <c r="K102" s="2" t="s">
        <v>91</v>
      </c>
    </row>
    <row r="103" spans="1:13" ht="8.25" customHeight="1" thickBot="1" x14ac:dyDescent="0.25">
      <c r="H103" s="2"/>
    </row>
    <row r="104" spans="1:13" ht="15" thickBot="1" x14ac:dyDescent="0.25">
      <c r="A104" s="2" t="s">
        <v>112</v>
      </c>
      <c r="B104" s="1" t="s">
        <v>113</v>
      </c>
      <c r="L104" s="61">
        <f>IF(H31="Không","Không",IF(OR(D19&gt;20,D19=20),$L$98*5,0))</f>
        <v>60625700</v>
      </c>
      <c r="M104" s="2" t="s">
        <v>91</v>
      </c>
    </row>
    <row r="105" spans="1:13" ht="8.25" customHeight="1" thickBot="1" x14ac:dyDescent="0.25">
      <c r="H105" s="2"/>
    </row>
    <row r="106" spans="1:13" ht="15" thickBot="1" x14ac:dyDescent="0.25">
      <c r="A106" s="2" t="s">
        <v>114</v>
      </c>
      <c r="B106" s="1" t="s">
        <v>115</v>
      </c>
      <c r="I106" s="61">
        <f>IF(H31="Không","Không",L98*1/2*L19)</f>
        <v>81844695</v>
      </c>
      <c r="J106" s="22" t="s">
        <v>116</v>
      </c>
    </row>
    <row r="107" spans="1:13" ht="8.25" customHeight="1" thickBot="1" x14ac:dyDescent="0.25">
      <c r="H107" s="2"/>
    </row>
    <row r="108" spans="1:13" s="27" customFormat="1" ht="31.5" customHeight="1" thickBot="1" x14ac:dyDescent="0.3">
      <c r="A108" s="26" t="s">
        <v>191</v>
      </c>
      <c r="B108" s="27" t="s">
        <v>107</v>
      </c>
      <c r="E108" s="66"/>
      <c r="F108" s="67"/>
      <c r="G108" s="68" t="s">
        <v>116</v>
      </c>
      <c r="H108" s="69"/>
      <c r="I108" s="91" t="s">
        <v>122</v>
      </c>
      <c r="J108" s="92"/>
      <c r="K108" s="92"/>
      <c r="L108" s="92"/>
      <c r="M108" s="93"/>
    </row>
    <row r="109" spans="1:13" ht="8.25" customHeight="1" thickBot="1" x14ac:dyDescent="0.25">
      <c r="H109" s="2"/>
    </row>
    <row r="110" spans="1:13" ht="15" thickBot="1" x14ac:dyDescent="0.25">
      <c r="A110" s="2" t="s">
        <v>108</v>
      </c>
      <c r="B110" s="1" t="s">
        <v>123</v>
      </c>
      <c r="H110" s="2"/>
      <c r="J110" s="61">
        <f>IF(H89="Không","Không",$L$98*1.5*$L$29)</f>
        <v>36375420</v>
      </c>
      <c r="K110" s="2" t="s">
        <v>91</v>
      </c>
    </row>
    <row r="111" spans="1:13" ht="8.25" customHeight="1" thickBot="1" x14ac:dyDescent="0.25">
      <c r="H111" s="2"/>
    </row>
    <row r="112" spans="1:13" ht="15" thickBot="1" x14ac:dyDescent="0.25">
      <c r="A112" s="2" t="s">
        <v>112</v>
      </c>
      <c r="B112" s="1" t="s">
        <v>124</v>
      </c>
      <c r="F112" s="78"/>
      <c r="G112" s="94"/>
      <c r="H112" s="79"/>
      <c r="I112" s="1" t="s">
        <v>116</v>
      </c>
    </row>
    <row r="113" spans="1:13" ht="8.25" customHeight="1" x14ac:dyDescent="0.2">
      <c r="H113" s="2"/>
    </row>
    <row r="114" spans="1:13" ht="8.25" customHeight="1" thickBot="1" x14ac:dyDescent="0.25">
      <c r="H114" s="2"/>
    </row>
    <row r="115" spans="1:13" s="10" customFormat="1" ht="15.75" thickBot="1" x14ac:dyDescent="0.3">
      <c r="A115" s="5" t="s">
        <v>192</v>
      </c>
      <c r="B115" s="10" t="s">
        <v>107</v>
      </c>
      <c r="E115" s="80" t="e">
        <f>F117+K119</f>
        <v>#VALUE!</v>
      </c>
      <c r="F115" s="81"/>
      <c r="G115" s="82" t="s">
        <v>116</v>
      </c>
      <c r="H115" s="83"/>
      <c r="I115" s="84" t="s">
        <v>118</v>
      </c>
      <c r="J115" s="86"/>
    </row>
    <row r="116" spans="1:13" ht="8.25" customHeight="1" thickBot="1" x14ac:dyDescent="0.25">
      <c r="H116" s="2"/>
    </row>
    <row r="117" spans="1:13" ht="15" thickBot="1" x14ac:dyDescent="0.25">
      <c r="A117" s="2" t="s">
        <v>108</v>
      </c>
      <c r="B117" s="1" t="s">
        <v>119</v>
      </c>
      <c r="F117" s="70" t="str">
        <f>IF(H33="x",3*G83,"Không")</f>
        <v>Không</v>
      </c>
      <c r="G117" s="90"/>
      <c r="H117" s="71"/>
      <c r="I117" s="1" t="s">
        <v>116</v>
      </c>
    </row>
    <row r="118" spans="1:13" ht="8.25" customHeight="1" thickBot="1" x14ac:dyDescent="0.25">
      <c r="H118" s="2"/>
    </row>
    <row r="119" spans="1:13" ht="15" thickBot="1" x14ac:dyDescent="0.25">
      <c r="A119" s="2" t="s">
        <v>112</v>
      </c>
      <c r="B119" s="1" t="s">
        <v>120</v>
      </c>
      <c r="K119" s="70" t="str">
        <f>IF(H33="x",J96*(1.5*IF(F19&gt;7,D19+1,IF(F19=0,D19,D19+0.5))),"Không")</f>
        <v>Không</v>
      </c>
      <c r="L119" s="71"/>
      <c r="M119" s="2" t="s">
        <v>91</v>
      </c>
    </row>
    <row r="120" spans="1:13" ht="8.25" customHeight="1" thickBot="1" x14ac:dyDescent="0.25">
      <c r="H120" s="2"/>
    </row>
    <row r="121" spans="1:13" ht="15.75" thickBot="1" x14ac:dyDescent="0.3">
      <c r="A121" s="5" t="s">
        <v>193</v>
      </c>
      <c r="B121" s="10" t="s">
        <v>107</v>
      </c>
      <c r="E121" s="80" t="e">
        <f>D135</f>
        <v>#NUM!</v>
      </c>
      <c r="F121" s="81"/>
      <c r="G121" s="82" t="s">
        <v>116</v>
      </c>
      <c r="H121" s="83"/>
      <c r="I121" s="84" t="s">
        <v>194</v>
      </c>
      <c r="J121" s="85"/>
      <c r="K121" s="85"/>
      <c r="L121" s="85"/>
      <c r="M121" s="86"/>
    </row>
    <row r="122" spans="1:13" ht="8.25" customHeight="1" thickBot="1" x14ac:dyDescent="0.25">
      <c r="H122" s="2"/>
    </row>
    <row r="123" spans="1:13" ht="15.75" thickBot="1" x14ac:dyDescent="0.3">
      <c r="B123" s="1" t="s">
        <v>195</v>
      </c>
      <c r="D123" s="73" t="s">
        <v>143</v>
      </c>
      <c r="E123" s="74"/>
      <c r="G123" s="1" t="s">
        <v>196</v>
      </c>
      <c r="H123" s="2"/>
      <c r="J123" s="52"/>
      <c r="K123" s="51" t="s">
        <v>116</v>
      </c>
    </row>
    <row r="124" spans="1:13" ht="8.25" customHeight="1" thickBot="1" x14ac:dyDescent="0.25">
      <c r="H124" s="2"/>
    </row>
    <row r="125" spans="1:13" ht="15" thickBot="1" x14ac:dyDescent="0.25">
      <c r="B125" s="1" t="s">
        <v>128</v>
      </c>
      <c r="E125" s="75"/>
      <c r="F125" s="74"/>
      <c r="G125" s="76" t="s">
        <v>198</v>
      </c>
      <c r="H125" s="77"/>
      <c r="I125" s="77"/>
      <c r="J125" s="53" t="e">
        <f>DATEDIF(D7,E125,"Y")</f>
        <v>#NUM!</v>
      </c>
      <c r="K125" s="1" t="s">
        <v>197</v>
      </c>
      <c r="L125" s="53" t="e">
        <f>DATEDIF(D7,E125,"YM")</f>
        <v>#NUM!</v>
      </c>
      <c r="M125" s="1" t="s">
        <v>110</v>
      </c>
    </row>
    <row r="126" spans="1:13" ht="8.25" customHeight="1" thickBot="1" x14ac:dyDescent="0.25">
      <c r="H126" s="2"/>
    </row>
    <row r="127" spans="1:13" ht="15" thickBot="1" x14ac:dyDescent="0.25">
      <c r="B127" s="22" t="s">
        <v>200</v>
      </c>
      <c r="G127" s="78" t="e">
        <f>DATEDIF(D21,E125,"m")</f>
        <v>#NUM!</v>
      </c>
      <c r="H127" s="79"/>
      <c r="I127" s="1" t="s">
        <v>110</v>
      </c>
    </row>
    <row r="128" spans="1:13" ht="8.25" customHeight="1" thickBot="1" x14ac:dyDescent="0.25">
      <c r="H128" s="2"/>
    </row>
    <row r="129" spans="1:13" ht="15" thickBot="1" x14ac:dyDescent="0.25">
      <c r="B129" s="1" t="s">
        <v>132</v>
      </c>
      <c r="F129" s="50"/>
      <c r="H129" s="22" t="s">
        <v>199</v>
      </c>
      <c r="L129" s="53" t="e">
        <f>DATEDIF(D21,F129,"m")</f>
        <v>#NUM!</v>
      </c>
      <c r="M129" s="1" t="s">
        <v>110</v>
      </c>
    </row>
    <row r="130" spans="1:13" ht="8.25" customHeight="1" thickBot="1" x14ac:dyDescent="0.25">
      <c r="H130" s="2"/>
    </row>
    <row r="131" spans="1:13" ht="15" thickBot="1" x14ac:dyDescent="0.25">
      <c r="B131" s="1" t="s">
        <v>202</v>
      </c>
      <c r="G131" s="53" t="e">
        <f>DATEDIF(D7,F129,"Y")</f>
        <v>#NUM!</v>
      </c>
      <c r="H131" s="1" t="s">
        <v>197</v>
      </c>
      <c r="I131" s="53" t="e">
        <f>DATEDIF(D7,F129,"YM")</f>
        <v>#NUM!</v>
      </c>
      <c r="J131" s="1" t="s">
        <v>110</v>
      </c>
    </row>
    <row r="132" spans="1:13" ht="8.25" customHeight="1" thickBot="1" x14ac:dyDescent="0.25">
      <c r="H132" s="2"/>
    </row>
    <row r="133" spans="1:13" ht="15" thickBot="1" x14ac:dyDescent="0.25">
      <c r="B133" s="1" t="s">
        <v>203</v>
      </c>
      <c r="G133" s="53" t="e">
        <f>IF(G131-VALUE(LEFT(J27,2))&gt;0,G131-VALUE(LEFT(J27,2)),0)</f>
        <v>#NUM!</v>
      </c>
      <c r="H133" s="22" t="s">
        <v>204</v>
      </c>
      <c r="I133" s="53" t="e">
        <f>IF(G131-VALUE(LEFT(J27,2))&lt;0,0,I131-VALUE(MID(J27,9,2)))</f>
        <v>#NUM!</v>
      </c>
      <c r="J133" s="1" t="s">
        <v>110</v>
      </c>
    </row>
    <row r="134" spans="1:13" ht="8.25" customHeight="1" thickBot="1" x14ac:dyDescent="0.25">
      <c r="H134" s="2"/>
    </row>
    <row r="135" spans="1:13" ht="15" thickBot="1" x14ac:dyDescent="0.25">
      <c r="B135" s="1" t="s">
        <v>201</v>
      </c>
      <c r="D135" s="70" t="e">
        <f>IF(J137="Không",K139,J137)</f>
        <v>#NUM!</v>
      </c>
      <c r="E135" s="71"/>
      <c r="F135" s="1" t="s">
        <v>116</v>
      </c>
      <c r="H135" s="2"/>
    </row>
    <row r="136" spans="1:13" ht="8.25" customHeight="1" thickBot="1" x14ac:dyDescent="0.25">
      <c r="H136" s="2"/>
    </row>
    <row r="137" spans="1:13" ht="15" thickBot="1" x14ac:dyDescent="0.25">
      <c r="C137" s="1" t="s">
        <v>205</v>
      </c>
      <c r="H137" s="2"/>
      <c r="J137" s="53" t="e">
        <f>IF(AND(G133=0,I133=0),"Không",0.5*J123*(G133*12+I133))</f>
        <v>#NUM!</v>
      </c>
      <c r="K137" s="1" t="s">
        <v>116</v>
      </c>
    </row>
    <row r="138" spans="1:13" ht="8.25" customHeight="1" thickBot="1" x14ac:dyDescent="0.25">
      <c r="H138" s="2"/>
    </row>
    <row r="139" spans="1:13" ht="15" thickBot="1" x14ac:dyDescent="0.25">
      <c r="C139" s="1" t="s">
        <v>206</v>
      </c>
      <c r="H139" s="2"/>
      <c r="K139" s="62" t="e">
        <f>IF(D123='Dữ liệu nền'!$E$27,0.5*J123*G127,0.5*'CB,CC'!J123*'CB,CC'!L129)</f>
        <v>#NUM!</v>
      </c>
      <c r="L139" s="1" t="s">
        <v>116</v>
      </c>
    </row>
    <row r="140" spans="1:13" ht="8.25" customHeight="1" x14ac:dyDescent="0.2">
      <c r="H140" s="2"/>
    </row>
    <row r="141" spans="1:13" s="10" customFormat="1" ht="15" x14ac:dyDescent="0.25">
      <c r="A141" s="5">
        <v>17</v>
      </c>
      <c r="B141" s="10" t="s">
        <v>125</v>
      </c>
    </row>
    <row r="142" spans="1:13" ht="8.25" customHeight="1" thickBot="1" x14ac:dyDescent="0.25">
      <c r="H142" s="2"/>
    </row>
    <row r="143" spans="1:13" ht="15" thickBot="1" x14ac:dyDescent="0.25">
      <c r="B143" s="1" t="s">
        <v>128</v>
      </c>
      <c r="E143" s="75">
        <v>45536</v>
      </c>
      <c r="F143" s="74"/>
      <c r="I143" s="1" t="s">
        <v>132</v>
      </c>
      <c r="L143" s="50">
        <v>45536</v>
      </c>
    </row>
    <row r="144" spans="1:13" ht="8.25" customHeight="1" thickBot="1" x14ac:dyDescent="0.25">
      <c r="H144" s="2"/>
    </row>
    <row r="145" spans="1:13" ht="15" thickBot="1" x14ac:dyDescent="0.25">
      <c r="B145" s="1" t="s">
        <v>130</v>
      </c>
      <c r="F145" s="53" t="str">
        <f>IF(OR(H11='Dữ liệu nền'!$E$2,H11='Dữ liệu nền'!$E$5),DATEDIF(D21,E143,"m"),"Không xét")</f>
        <v>Không xét</v>
      </c>
      <c r="G145" s="2" t="s">
        <v>34</v>
      </c>
      <c r="H145" s="2"/>
      <c r="I145" s="31" t="s">
        <v>131</v>
      </c>
      <c r="L145" s="53">
        <f>IF(OR(H11='Dữ liệu nền'!$E$2,H11='Dữ liệu nền'!$E$5),"Không xét",DATEDIF(D21,L143,"m"))</f>
        <v>11</v>
      </c>
      <c r="M145" s="2" t="s">
        <v>34</v>
      </c>
    </row>
    <row r="146" spans="1:13" ht="8.25" customHeight="1" thickBot="1" x14ac:dyDescent="0.25">
      <c r="H146" s="2"/>
    </row>
    <row r="147" spans="1:13" ht="15" thickBot="1" x14ac:dyDescent="0.25">
      <c r="A147" s="2" t="s">
        <v>108</v>
      </c>
      <c r="B147" s="31" t="s">
        <v>126</v>
      </c>
      <c r="I147" s="53">
        <f>IF(OR(H11='Dữ liệu nền'!$E$2,'CB,CC'!H11:I11='Dữ liệu nền'!$E$5),'CB,CC'!G83:I83*0.5*'CB,CC'!F145,0.5*'CB,CC'!G83:I83*'CB,CC'!L145)</f>
        <v>0</v>
      </c>
      <c r="J147" s="1" t="s">
        <v>116</v>
      </c>
    </row>
    <row r="148" spans="1:13" ht="8.25" customHeight="1" thickBot="1" x14ac:dyDescent="0.25">
      <c r="H148" s="2"/>
    </row>
    <row r="149" spans="1:13" ht="15" thickBot="1" x14ac:dyDescent="0.25">
      <c r="A149" s="2" t="s">
        <v>112</v>
      </c>
      <c r="B149" s="30" t="s">
        <v>127</v>
      </c>
      <c r="I149" s="53">
        <f>IF(OR(H11='Dữ liệu nền'!$E$2,'CB,CC'!H11:I11='Dữ liệu nền'!$E$5),'CB,CC'!G83:I83*1/4*'CB,CC'!F145,1/4*'CB,CC'!G83:I83*'CB,CC'!L145)</f>
        <v>0</v>
      </c>
      <c r="J149" s="1" t="s">
        <v>116</v>
      </c>
    </row>
    <row r="150" spans="1:13" ht="8.25" customHeight="1" x14ac:dyDescent="0.2">
      <c r="H150" s="2"/>
    </row>
  </sheetData>
  <mergeCells count="48">
    <mergeCell ref="E143:F143"/>
    <mergeCell ref="G79:H79"/>
    <mergeCell ref="G83:I83"/>
    <mergeCell ref="J37:K37"/>
    <mergeCell ref="J41:K41"/>
    <mergeCell ref="K49:L49"/>
    <mergeCell ref="G51:H51"/>
    <mergeCell ref="L53:N53"/>
    <mergeCell ref="L55:N55"/>
    <mergeCell ref="K57:N57"/>
    <mergeCell ref="J59:K59"/>
    <mergeCell ref="M61:N61"/>
    <mergeCell ref="K119:L119"/>
    <mergeCell ref="G115:H115"/>
    <mergeCell ref="E115:F115"/>
    <mergeCell ref="I115:J115"/>
    <mergeCell ref="F112:H112"/>
    <mergeCell ref="M87:M98"/>
    <mergeCell ref="I25:J25"/>
    <mergeCell ref="D17:K17"/>
    <mergeCell ref="C5:K5"/>
    <mergeCell ref="H11:I11"/>
    <mergeCell ref="D7:F7"/>
    <mergeCell ref="D21:F21"/>
    <mergeCell ref="F11:G11"/>
    <mergeCell ref="J7:K7"/>
    <mergeCell ref="J27:K27"/>
    <mergeCell ref="K31:L31"/>
    <mergeCell ref="E100:F100"/>
    <mergeCell ref="G100:H100"/>
    <mergeCell ref="F35:N35"/>
    <mergeCell ref="I100:J100"/>
    <mergeCell ref="E108:F108"/>
    <mergeCell ref="G108:H108"/>
    <mergeCell ref="D135:E135"/>
    <mergeCell ref="A3:N3"/>
    <mergeCell ref="D123:E123"/>
    <mergeCell ref="E125:F125"/>
    <mergeCell ref="G125:I125"/>
    <mergeCell ref="G127:H127"/>
    <mergeCell ref="E121:F121"/>
    <mergeCell ref="G121:H121"/>
    <mergeCell ref="I121:M121"/>
    <mergeCell ref="C15:D15"/>
    <mergeCell ref="C11:E11"/>
    <mergeCell ref="C13:E13"/>
    <mergeCell ref="F117:H117"/>
    <mergeCell ref="I108:M108"/>
  </mergeCells>
  <dataValidations count="8">
    <dataValidation type="date" allowBlank="1" showInputMessage="1" showErrorMessage="1" sqref="G7" xr:uid="{00000000-0002-0000-0100-000000000000}">
      <formula1>25569</formula1>
      <formula2>47484</formula2>
    </dataValidation>
    <dataValidation type="whole" allowBlank="1" showInputMessage="1" showErrorMessage="1" sqref="D19" xr:uid="{00000000-0002-0000-0100-000001000000}">
      <formula1>1</formula1>
      <formula2>60</formula2>
    </dataValidation>
    <dataValidation type="whole" allowBlank="1" showInputMessage="1" showErrorMessage="1" sqref="F19" xr:uid="{00000000-0002-0000-0100-000002000000}">
      <formula1>0</formula1>
      <formula2>12</formula2>
    </dataValidation>
    <dataValidation type="date" allowBlank="1" showInputMessage="1" showErrorMessage="1" sqref="D21:F21" xr:uid="{00000000-0002-0000-0100-000003000000}">
      <formula1>44927</formula1>
      <formula2>47849</formula2>
    </dataValidation>
    <dataValidation type="date" allowBlank="1" showInputMessage="1" showErrorMessage="1" sqref="D7:F7" xr:uid="{00000000-0002-0000-0100-000004000000}">
      <formula1>16438</formula1>
      <formula2>47484</formula2>
    </dataValidation>
    <dataValidation type="date" allowBlank="1" showInputMessage="1" showErrorMessage="1" sqref="E143:F143 L143 E125:F125 F129" xr:uid="{00000000-0002-0000-0100-000005000000}">
      <formula1>43466</formula1>
      <formula2>51136</formula2>
    </dataValidation>
    <dataValidation type="whole" operator="lessThan" allowBlank="1" showInputMessage="1" showErrorMessage="1" sqref="I77 H75" xr:uid="{00000000-0002-0000-0100-000006000000}">
      <formula1>1</formula1>
    </dataValidation>
    <dataValidation type="date" allowBlank="1" showInputMessage="1" showErrorMessage="1" sqref="K39 K43" xr:uid="{00000000-0002-0000-0100-000007000000}">
      <formula1>43831</formula1>
      <formula2>51136</formula2>
    </dataValidation>
  </dataValidations>
  <pageMargins left="0" right="0" top="0.39370078740157483" bottom="0.39370078740157483" header="0" footer="0"/>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8000000}">
          <x14:formula1>
            <xm:f>'Dữ liệu nền'!$B$1:$B$3</xm:f>
          </x14:formula1>
          <xm:sqref>C9</xm:sqref>
        </x14:dataValidation>
        <x14:dataValidation type="list" allowBlank="1" showInputMessage="1" showErrorMessage="1" xr:uid="{00000000-0002-0000-0100-000009000000}">
          <x14:formula1>
            <xm:f>'Dữ liệu nền'!$B$4:$B$11</xm:f>
          </x14:formula1>
          <xm:sqref>C15:D15 H49 G51:H51</xm:sqref>
        </x14:dataValidation>
        <x14:dataValidation type="list" allowBlank="1" showInputMessage="1" showErrorMessage="1" xr:uid="{00000000-0002-0000-0100-00000A000000}">
          <x14:formula1>
            <xm:f>'Dữ liệu nền'!$B$2:$B$5</xm:f>
          </x14:formula1>
          <xm:sqref>J6 J8</xm:sqref>
        </x14:dataValidation>
        <x14:dataValidation type="list" allowBlank="1" showInputMessage="1" showErrorMessage="1" xr:uid="{00000000-0002-0000-0100-00000B000000}">
          <x14:formula1>
            <xm:f>'Dữ liệu nền'!$E$1:$E$10</xm:f>
          </x14:formula1>
          <xm:sqref>H11:I11</xm:sqref>
        </x14:dataValidation>
        <x14:dataValidation type="list" allowBlank="1" showInputMessage="1" showErrorMessage="1" xr:uid="{00000000-0002-0000-0100-00000C000000}">
          <x14:formula1>
            <xm:f>'Dữ liệu nền'!$B$12:$B$14</xm:f>
          </x14:formula1>
          <xm:sqref>I25:J25</xm:sqref>
        </x14:dataValidation>
        <x14:dataValidation type="list" allowBlank="1" showInputMessage="1" showErrorMessage="1" xr:uid="{00000000-0002-0000-0100-00000D000000}">
          <x14:formula1>
            <xm:f>'Dữ liệu nền'!$E$26:$E$28</xm:f>
          </x14:formula1>
          <xm:sqref>K69 D123:E123</xm:sqref>
        </x14:dataValidation>
        <x14:dataValidation type="list" allowBlank="1" showInputMessage="1" showErrorMessage="1" xr:uid="{00000000-0002-0000-0100-00000E000000}">
          <x14:formula1>
            <xm:f>'Dữ liệu nền'!$B$29:$B$44</xm:f>
          </x14:formula1>
          <xm:sqref>F35:N35</xm:sqref>
        </x14:dataValidation>
        <x14:dataValidation type="list" allowBlank="1" showInputMessage="1" showErrorMessage="1" xr:uid="{00000000-0002-0000-0100-00000F000000}">
          <x14:formula1>
            <xm:f>'Dữ liệu nền'!$B$46:$B$48</xm:f>
          </x14:formula1>
          <xm:sqref>L53:N53 K57:N57</xm:sqref>
        </x14:dataValidation>
        <x14:dataValidation type="list" allowBlank="1" showInputMessage="1" showErrorMessage="1" xr:uid="{00000000-0002-0000-0100-000010000000}">
          <x14:formula1>
            <xm:f>'Dữ liệu nền'!$E$46:$E$53</xm:f>
          </x14:formula1>
          <xm:sqref>J59:K59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V53"/>
  <sheetViews>
    <sheetView topLeftCell="A22" workbookViewId="0">
      <selection activeCell="E15" sqref="E15"/>
    </sheetView>
  </sheetViews>
  <sheetFormatPr defaultRowHeight="14.25" x14ac:dyDescent="0.2"/>
  <cols>
    <col min="1" max="1" width="9.140625" style="1"/>
    <col min="2" max="2" width="11.85546875" style="1" bestFit="1" customWidth="1"/>
    <col min="3" max="3" width="14.85546875" style="1" bestFit="1" customWidth="1"/>
    <col min="4" max="4" width="25.140625" style="1" customWidth="1"/>
    <col min="5" max="5" width="9.42578125" style="1" customWidth="1"/>
    <col min="6" max="6" width="21.5703125" style="1" customWidth="1"/>
    <col min="7" max="8" width="20" style="1" customWidth="1"/>
    <col min="9" max="9" width="4" style="1" bestFit="1" customWidth="1"/>
    <col min="10" max="22" width="17.85546875" style="1" customWidth="1"/>
    <col min="23" max="16384" width="9.140625" style="1"/>
  </cols>
  <sheetData>
    <row r="1" spans="1:22" ht="28.5" x14ac:dyDescent="0.2">
      <c r="A1" s="1" t="s">
        <v>6</v>
      </c>
      <c r="B1" s="1" t="s">
        <v>31</v>
      </c>
      <c r="D1" s="1" t="s">
        <v>20</v>
      </c>
      <c r="E1" s="1" t="s">
        <v>31</v>
      </c>
      <c r="I1" s="9" t="s">
        <v>45</v>
      </c>
      <c r="J1" s="65" t="s">
        <v>46</v>
      </c>
      <c r="K1" s="65"/>
      <c r="L1" s="9" t="s">
        <v>47</v>
      </c>
      <c r="M1" s="9" t="s">
        <v>44</v>
      </c>
      <c r="N1" s="65" t="s">
        <v>48</v>
      </c>
      <c r="O1" s="65"/>
      <c r="P1" s="9" t="s">
        <v>40</v>
      </c>
      <c r="Q1" s="65" t="s">
        <v>6</v>
      </c>
      <c r="R1" s="65"/>
      <c r="S1" s="65" t="s">
        <v>49</v>
      </c>
      <c r="T1" s="65"/>
      <c r="U1" s="65"/>
      <c r="V1" s="65"/>
    </row>
    <row r="2" spans="1:22" x14ac:dyDescent="0.2">
      <c r="B2" s="1" t="s">
        <v>4</v>
      </c>
      <c r="E2" s="1" t="s">
        <v>21</v>
      </c>
      <c r="I2" s="9"/>
      <c r="J2" s="9" t="s">
        <v>50</v>
      </c>
      <c r="K2" s="9" t="s">
        <v>51</v>
      </c>
      <c r="L2" s="9" t="s">
        <v>47</v>
      </c>
      <c r="M2" s="9" t="s">
        <v>44</v>
      </c>
      <c r="N2" s="38" t="s">
        <v>50</v>
      </c>
      <c r="O2" s="39" t="s">
        <v>51</v>
      </c>
      <c r="P2" s="9" t="s">
        <v>42</v>
      </c>
      <c r="Q2" s="9" t="s">
        <v>4</v>
      </c>
      <c r="R2" s="9" t="s">
        <v>5</v>
      </c>
      <c r="S2" s="38" t="s">
        <v>52</v>
      </c>
      <c r="T2" s="39" t="s">
        <v>52</v>
      </c>
      <c r="U2" s="38" t="s">
        <v>53</v>
      </c>
      <c r="V2" s="39" t="s">
        <v>53</v>
      </c>
    </row>
    <row r="3" spans="1:22" x14ac:dyDescent="0.2">
      <c r="B3" s="1" t="s">
        <v>5</v>
      </c>
      <c r="E3" s="1" t="s">
        <v>22</v>
      </c>
      <c r="I3" s="40">
        <v>1</v>
      </c>
      <c r="J3" s="41">
        <v>22282</v>
      </c>
      <c r="K3" s="41">
        <v>22554</v>
      </c>
      <c r="L3" s="40">
        <v>2021</v>
      </c>
      <c r="M3" s="40" t="s">
        <v>54</v>
      </c>
      <c r="N3" s="42">
        <f>DATE(YEAR(J3)+60,MONTH(J3)+4,DAY(J3))</f>
        <v>44317</v>
      </c>
      <c r="O3" s="43">
        <f>DATE(YEAR(K3)+60,MONTH(K3)+4,1)</f>
        <v>44562</v>
      </c>
      <c r="P3" s="41"/>
      <c r="Q3" s="40" t="s">
        <v>55</v>
      </c>
      <c r="R3" s="40"/>
      <c r="S3" s="42">
        <f>DATE(YEAR(N3)-5,MONTH(N3),DAY(N3))</f>
        <v>42491</v>
      </c>
      <c r="T3" s="43">
        <f>DATE(YEAR(O3)-5,MONTH(O3),DAY(O3))</f>
        <v>42736</v>
      </c>
      <c r="U3" s="42">
        <f>DATE(YEAR(N3)-2,MONTH(N3),DAY(N3))</f>
        <v>43586</v>
      </c>
      <c r="V3" s="43">
        <f>DATE(YEAR(O3)-2,MONTH(O3),DAY(O3))</f>
        <v>43831</v>
      </c>
    </row>
    <row r="4" spans="1:22" x14ac:dyDescent="0.2">
      <c r="A4" s="1" t="s">
        <v>8</v>
      </c>
      <c r="B4" s="1" t="s">
        <v>31</v>
      </c>
      <c r="E4" s="1" t="s">
        <v>23</v>
      </c>
      <c r="I4" s="40">
        <v>2</v>
      </c>
      <c r="J4" s="41">
        <v>22555</v>
      </c>
      <c r="K4" s="41">
        <v>22827</v>
      </c>
      <c r="L4" s="40">
        <v>2022</v>
      </c>
      <c r="M4" s="40" t="s">
        <v>56</v>
      </c>
      <c r="N4" s="42">
        <f>DATE(YEAR(J4)+60,MONTH(J4)+7,DAY(J4))</f>
        <v>44682</v>
      </c>
      <c r="O4" s="43">
        <f>DATE(YEAR(K4)+60,MONTH(K4)+7,1)</f>
        <v>44927</v>
      </c>
      <c r="P4" s="41"/>
      <c r="Q4" s="40" t="s">
        <v>55</v>
      </c>
      <c r="R4" s="40"/>
      <c r="S4" s="42">
        <f t="shared" ref="S4:T19" si="0">DATE(YEAR(N4)-5,MONTH(N4),DAY(N4))</f>
        <v>42856</v>
      </c>
      <c r="T4" s="43">
        <f t="shared" si="0"/>
        <v>43101</v>
      </c>
      <c r="U4" s="42">
        <f t="shared" ref="U4:V48" si="1">DATE(YEAR(N4)-2,MONTH(N4),DAY(N4))</f>
        <v>43952</v>
      </c>
      <c r="V4" s="43">
        <f t="shared" si="1"/>
        <v>44197</v>
      </c>
    </row>
    <row r="5" spans="1:22" x14ac:dyDescent="0.2">
      <c r="B5" s="33" t="s">
        <v>9</v>
      </c>
      <c r="E5" s="1" t="s">
        <v>25</v>
      </c>
      <c r="I5" s="40">
        <v>3</v>
      </c>
      <c r="J5" s="41">
        <v>22828</v>
      </c>
      <c r="K5" s="41">
        <v>23101</v>
      </c>
      <c r="L5" s="40">
        <v>2023</v>
      </c>
      <c r="M5" s="40" t="s">
        <v>57</v>
      </c>
      <c r="N5" s="42">
        <f>DATE(YEAR(J5)+60,MONTH(J5)+10,DAY(J5))</f>
        <v>45047</v>
      </c>
      <c r="O5" s="43">
        <f>DATE(YEAR(K5)+60,MONTH(K5)+10,1)</f>
        <v>45292</v>
      </c>
      <c r="P5" s="41"/>
      <c r="Q5" s="40" t="s">
        <v>55</v>
      </c>
      <c r="R5" s="40"/>
      <c r="S5" s="42">
        <f t="shared" si="0"/>
        <v>43221</v>
      </c>
      <c r="T5" s="43">
        <f t="shared" si="0"/>
        <v>43466</v>
      </c>
      <c r="U5" s="42">
        <f t="shared" si="1"/>
        <v>44317</v>
      </c>
      <c r="V5" s="43">
        <f t="shared" si="1"/>
        <v>44562</v>
      </c>
    </row>
    <row r="6" spans="1:22" x14ac:dyDescent="0.2">
      <c r="B6" s="1" t="s">
        <v>10</v>
      </c>
      <c r="E6" s="1" t="s">
        <v>24</v>
      </c>
      <c r="I6" s="40">
        <v>4</v>
      </c>
      <c r="J6" s="41">
        <v>23102</v>
      </c>
      <c r="K6" s="41">
        <v>23376</v>
      </c>
      <c r="L6" s="40">
        <v>2024</v>
      </c>
      <c r="M6" s="40" t="s">
        <v>89</v>
      </c>
      <c r="N6" s="42">
        <f>DATE(YEAR(J6)+60,MONTH(J6)+13,DAY(J6))</f>
        <v>45413</v>
      </c>
      <c r="O6" s="43">
        <f>DATE(YEAR(K6)+60,MONTH(K6)+13,1)</f>
        <v>45658</v>
      </c>
      <c r="P6" s="41"/>
      <c r="Q6" s="40" t="s">
        <v>55</v>
      </c>
      <c r="R6" s="40"/>
      <c r="S6" s="42">
        <f t="shared" si="0"/>
        <v>43586</v>
      </c>
      <c r="T6" s="43">
        <f t="shared" si="0"/>
        <v>43831</v>
      </c>
      <c r="U6" s="42">
        <f t="shared" si="1"/>
        <v>44682</v>
      </c>
      <c r="V6" s="43">
        <f t="shared" si="1"/>
        <v>44927</v>
      </c>
    </row>
    <row r="7" spans="1:22" x14ac:dyDescent="0.2">
      <c r="B7" s="1" t="s">
        <v>11</v>
      </c>
      <c r="E7" s="1" t="s">
        <v>26</v>
      </c>
      <c r="I7" s="40">
        <v>5</v>
      </c>
      <c r="J7" s="41">
        <v>23377</v>
      </c>
      <c r="K7" s="41">
        <v>23650</v>
      </c>
      <c r="L7" s="40">
        <v>2025</v>
      </c>
      <c r="M7" s="40" t="s">
        <v>58</v>
      </c>
      <c r="N7" s="42">
        <f>DATE(YEAR(J7)+61,MONTH(J7)+4,DAY(J7))</f>
        <v>45778</v>
      </c>
      <c r="O7" s="43">
        <f>DATE(YEAR(K7)+61,MONTH(K7)+4,1)</f>
        <v>46023</v>
      </c>
      <c r="P7" s="41"/>
      <c r="Q7" s="40" t="s">
        <v>55</v>
      </c>
      <c r="R7" s="40"/>
      <c r="S7" s="42">
        <f t="shared" si="0"/>
        <v>43952</v>
      </c>
      <c r="T7" s="43">
        <f t="shared" si="0"/>
        <v>44197</v>
      </c>
      <c r="U7" s="42">
        <f t="shared" si="1"/>
        <v>45047</v>
      </c>
      <c r="V7" s="43">
        <f t="shared" si="1"/>
        <v>45292</v>
      </c>
    </row>
    <row r="8" spans="1:22" x14ac:dyDescent="0.2">
      <c r="B8" s="1" t="s">
        <v>12</v>
      </c>
      <c r="E8" s="1" t="s">
        <v>27</v>
      </c>
      <c r="I8" s="40">
        <v>6</v>
      </c>
      <c r="J8" s="41">
        <v>23651</v>
      </c>
      <c r="K8" s="41">
        <v>23923</v>
      </c>
      <c r="L8" s="40">
        <v>2026</v>
      </c>
      <c r="M8" s="40" t="s">
        <v>59</v>
      </c>
      <c r="N8" s="42">
        <f>DATE(YEAR(J8)+61,MONTH(J8)+7,DAY(J8))</f>
        <v>46143</v>
      </c>
      <c r="O8" s="43">
        <f>DATE(YEAR(K8)+61,MONTH(K8)+7,1)</f>
        <v>46388</v>
      </c>
      <c r="P8" s="41"/>
      <c r="Q8" s="40" t="s">
        <v>55</v>
      </c>
      <c r="R8" s="40"/>
      <c r="S8" s="42">
        <f t="shared" si="0"/>
        <v>44317</v>
      </c>
      <c r="T8" s="43">
        <f t="shared" si="0"/>
        <v>44562</v>
      </c>
      <c r="U8" s="42">
        <f t="shared" si="1"/>
        <v>45413</v>
      </c>
      <c r="V8" s="43">
        <f t="shared" si="1"/>
        <v>45658</v>
      </c>
    </row>
    <row r="9" spans="1:22" x14ac:dyDescent="0.2">
      <c r="B9" s="1" t="s">
        <v>13</v>
      </c>
      <c r="E9" s="1" t="s">
        <v>28</v>
      </c>
      <c r="I9" s="40">
        <v>7</v>
      </c>
      <c r="J9" s="41">
        <v>23924</v>
      </c>
      <c r="K9" s="41">
        <v>24197</v>
      </c>
      <c r="L9" s="40">
        <v>2027</v>
      </c>
      <c r="M9" s="40" t="s">
        <v>60</v>
      </c>
      <c r="N9" s="42">
        <f>DATE(YEAR(J9)+61,MONTH(J9)+10,DAY(J9))</f>
        <v>46508</v>
      </c>
      <c r="O9" s="43">
        <f>DATE(YEAR(K9)+61,MONTH(K9)+10,1)</f>
        <v>46753</v>
      </c>
      <c r="P9" s="41"/>
      <c r="Q9" s="40" t="s">
        <v>55</v>
      </c>
      <c r="R9" s="40"/>
      <c r="S9" s="42">
        <f t="shared" si="0"/>
        <v>44682</v>
      </c>
      <c r="T9" s="43">
        <f t="shared" si="0"/>
        <v>44927</v>
      </c>
      <c r="U9" s="42">
        <f t="shared" si="1"/>
        <v>45778</v>
      </c>
      <c r="V9" s="43">
        <f t="shared" si="1"/>
        <v>46023</v>
      </c>
    </row>
    <row r="10" spans="1:22" x14ac:dyDescent="0.2">
      <c r="B10" s="1" t="s">
        <v>14</v>
      </c>
      <c r="E10" s="1" t="s">
        <v>29</v>
      </c>
      <c r="I10" s="40">
        <v>8</v>
      </c>
      <c r="J10" s="41">
        <v>24198</v>
      </c>
      <c r="K10" s="40"/>
      <c r="L10" s="40">
        <v>2028</v>
      </c>
      <c r="M10" s="40" t="s">
        <v>83</v>
      </c>
      <c r="N10" s="42">
        <f>DATE(YEAR(J10)+62,MONTH(J10)+1,DAY(J10))</f>
        <v>46874</v>
      </c>
      <c r="O10" s="44"/>
      <c r="P10" s="40"/>
      <c r="Q10" s="40" t="s">
        <v>55</v>
      </c>
      <c r="R10" s="40"/>
      <c r="S10" s="42">
        <f t="shared" si="0"/>
        <v>45047</v>
      </c>
      <c r="T10" s="43"/>
      <c r="U10" s="42">
        <f t="shared" si="1"/>
        <v>46143</v>
      </c>
      <c r="V10" s="43"/>
    </row>
    <row r="11" spans="1:22" x14ac:dyDescent="0.2">
      <c r="B11" s="1" t="s">
        <v>15</v>
      </c>
      <c r="I11" s="9">
        <v>9</v>
      </c>
      <c r="J11" s="45">
        <v>24108</v>
      </c>
      <c r="K11" s="45">
        <v>24350</v>
      </c>
      <c r="L11" s="9">
        <v>2021</v>
      </c>
      <c r="M11" s="9" t="s">
        <v>61</v>
      </c>
      <c r="N11" s="46">
        <f>DATE(YEAR(J11)+55,MONTH(J11)+5,DAY(J11))</f>
        <v>44348</v>
      </c>
      <c r="O11" s="47">
        <f>DATE(YEAR(K11)+55,MONTH(K11)+5,1)</f>
        <v>44562</v>
      </c>
      <c r="P11" s="45"/>
      <c r="Q11" s="9"/>
      <c r="R11" s="9" t="s">
        <v>55</v>
      </c>
      <c r="S11" s="46">
        <f t="shared" si="0"/>
        <v>42522</v>
      </c>
      <c r="T11" s="47">
        <f t="shared" si="0"/>
        <v>42736</v>
      </c>
      <c r="U11" s="46">
        <f t="shared" si="1"/>
        <v>43617</v>
      </c>
      <c r="V11" s="47">
        <f t="shared" si="1"/>
        <v>43831</v>
      </c>
    </row>
    <row r="12" spans="1:22" x14ac:dyDescent="0.2">
      <c r="A12" s="1" t="s">
        <v>40</v>
      </c>
      <c r="B12" s="1" t="s">
        <v>31</v>
      </c>
      <c r="C12" s="1" t="s">
        <v>187</v>
      </c>
      <c r="D12" s="1" t="s">
        <v>188</v>
      </c>
      <c r="E12" s="1" t="s">
        <v>189</v>
      </c>
      <c r="I12" s="9">
        <v>10</v>
      </c>
      <c r="J12" s="45">
        <v>24351</v>
      </c>
      <c r="K12" s="45">
        <v>24592</v>
      </c>
      <c r="L12" s="9">
        <v>2022</v>
      </c>
      <c r="M12" s="9" t="s">
        <v>62</v>
      </c>
      <c r="N12" s="46">
        <f>DATE(YEAR(J12)+55,MONTH(J12)+9,DAY(J12))</f>
        <v>44713</v>
      </c>
      <c r="O12" s="47">
        <f>DATE(YEAR(K12)+55,MONTH(K12)+9,1)</f>
        <v>44927</v>
      </c>
      <c r="P12" s="45"/>
      <c r="Q12" s="9"/>
      <c r="R12" s="9" t="s">
        <v>55</v>
      </c>
      <c r="S12" s="46">
        <f t="shared" si="0"/>
        <v>42887</v>
      </c>
      <c r="T12" s="47">
        <f t="shared" si="0"/>
        <v>43101</v>
      </c>
      <c r="U12" s="46">
        <f t="shared" si="1"/>
        <v>43983</v>
      </c>
      <c r="V12" s="47">
        <f t="shared" si="1"/>
        <v>44197</v>
      </c>
    </row>
    <row r="13" spans="1:22" x14ac:dyDescent="0.2">
      <c r="B13" s="1" t="s">
        <v>41</v>
      </c>
      <c r="C13" s="1">
        <v>30</v>
      </c>
      <c r="D13" s="1">
        <v>40</v>
      </c>
      <c r="E13" s="1">
        <v>60</v>
      </c>
      <c r="I13" s="9">
        <v>11</v>
      </c>
      <c r="J13" s="45">
        <v>24593</v>
      </c>
      <c r="K13" s="45">
        <v>24837</v>
      </c>
      <c r="L13" s="9">
        <v>2023</v>
      </c>
      <c r="M13" s="9" t="s">
        <v>84</v>
      </c>
      <c r="N13" s="46">
        <f>DATE(YEAR(J13)+56,MONTH(J13)+1,DAY(J13))</f>
        <v>45078</v>
      </c>
      <c r="O13" s="47">
        <f>DATE(YEAR(K13)+56,MONTH(K13)+1,1)</f>
        <v>45292</v>
      </c>
      <c r="P13" s="45"/>
      <c r="Q13" s="9"/>
      <c r="R13" s="9" t="s">
        <v>55</v>
      </c>
      <c r="S13" s="46">
        <f t="shared" si="0"/>
        <v>43252</v>
      </c>
      <c r="T13" s="47">
        <f t="shared" si="0"/>
        <v>43466</v>
      </c>
      <c r="U13" s="46">
        <f t="shared" si="1"/>
        <v>44348</v>
      </c>
      <c r="V13" s="47">
        <f t="shared" si="1"/>
        <v>44562</v>
      </c>
    </row>
    <row r="14" spans="1:22" x14ac:dyDescent="0.2">
      <c r="B14" s="1" t="s">
        <v>42</v>
      </c>
      <c r="C14" s="1">
        <v>40</v>
      </c>
      <c r="D14" s="1">
        <v>50</v>
      </c>
      <c r="E14" s="1">
        <v>70</v>
      </c>
      <c r="I14" s="9">
        <v>12</v>
      </c>
      <c r="J14" s="45">
        <v>24838</v>
      </c>
      <c r="K14" s="45">
        <v>25081</v>
      </c>
      <c r="L14" s="9">
        <v>2024</v>
      </c>
      <c r="M14" s="9" t="s">
        <v>63</v>
      </c>
      <c r="N14" s="46">
        <f>DATE(YEAR(J14)+56,MONTH(J14)+5,DAY(J14))</f>
        <v>45444</v>
      </c>
      <c r="O14" s="47">
        <f>DATE(YEAR(K14)+56,MONTH(K14)+5,1)</f>
        <v>45658</v>
      </c>
      <c r="P14" s="45"/>
      <c r="Q14" s="9"/>
      <c r="R14" s="9" t="s">
        <v>55</v>
      </c>
      <c r="S14" s="46">
        <f t="shared" si="0"/>
        <v>43617</v>
      </c>
      <c r="T14" s="47">
        <f t="shared" si="0"/>
        <v>43831</v>
      </c>
      <c r="U14" s="46">
        <f t="shared" si="1"/>
        <v>44713</v>
      </c>
      <c r="V14" s="47">
        <f t="shared" si="1"/>
        <v>44927</v>
      </c>
    </row>
    <row r="15" spans="1:22" x14ac:dyDescent="0.2">
      <c r="I15" s="9">
        <v>13</v>
      </c>
      <c r="J15" s="45">
        <v>25082</v>
      </c>
      <c r="K15" s="45">
        <v>25323</v>
      </c>
      <c r="L15" s="9">
        <v>2025</v>
      </c>
      <c r="M15" s="9" t="s">
        <v>64</v>
      </c>
      <c r="N15" s="46">
        <f>DATE(YEAR(J15)+56,MONTH(J15)+9,DAY(J15))</f>
        <v>45809</v>
      </c>
      <c r="O15" s="47">
        <f>DATE(YEAR(K15)+56,MONTH(K15)+9,1)</f>
        <v>46023</v>
      </c>
      <c r="P15" s="45"/>
      <c r="Q15" s="9"/>
      <c r="R15" s="9" t="s">
        <v>55</v>
      </c>
      <c r="S15" s="46">
        <f t="shared" si="0"/>
        <v>43983</v>
      </c>
      <c r="T15" s="47">
        <f t="shared" si="0"/>
        <v>44197</v>
      </c>
      <c r="U15" s="46">
        <f t="shared" si="1"/>
        <v>45078</v>
      </c>
      <c r="V15" s="47">
        <f t="shared" si="1"/>
        <v>45292</v>
      </c>
    </row>
    <row r="16" spans="1:22" x14ac:dyDescent="0.2">
      <c r="B16" s="32">
        <v>40299</v>
      </c>
      <c r="C16" s="48">
        <v>730000</v>
      </c>
      <c r="I16" s="9">
        <v>14</v>
      </c>
      <c r="J16" s="45">
        <v>25324</v>
      </c>
      <c r="K16" s="45">
        <v>25568</v>
      </c>
      <c r="L16" s="9">
        <v>2026</v>
      </c>
      <c r="M16" s="9" t="s">
        <v>85</v>
      </c>
      <c r="N16" s="46">
        <f>DATE(YEAR(J16)+57,MONTH(J16)+1,DAY(J16))</f>
        <v>46174</v>
      </c>
      <c r="O16" s="47">
        <f>DATE(YEAR(K16)+57,MONTH(K16)+1,1)</f>
        <v>46388</v>
      </c>
      <c r="P16" s="45"/>
      <c r="Q16" s="9"/>
      <c r="R16" s="9" t="s">
        <v>55</v>
      </c>
      <c r="S16" s="46">
        <f t="shared" si="0"/>
        <v>44348</v>
      </c>
      <c r="T16" s="47">
        <f t="shared" si="0"/>
        <v>44562</v>
      </c>
      <c r="U16" s="46">
        <f t="shared" si="1"/>
        <v>45444</v>
      </c>
      <c r="V16" s="47">
        <f t="shared" si="1"/>
        <v>45658</v>
      </c>
    </row>
    <row r="17" spans="1:22" x14ac:dyDescent="0.2">
      <c r="B17" s="32">
        <v>40664</v>
      </c>
      <c r="C17" s="48">
        <v>830000</v>
      </c>
      <c r="I17" s="9">
        <v>15</v>
      </c>
      <c r="J17" s="45">
        <v>25569</v>
      </c>
      <c r="K17" s="45">
        <v>25811</v>
      </c>
      <c r="L17" s="9">
        <v>2027</v>
      </c>
      <c r="M17" s="9" t="s">
        <v>65</v>
      </c>
      <c r="N17" s="46">
        <f>DATE(YEAR(J17)+57,MONTH(J17)+5,DAY(J17))</f>
        <v>46539</v>
      </c>
      <c r="O17" s="47">
        <f>DATE(YEAR(K17)+57,MONTH(K17)+5,1)</f>
        <v>46753</v>
      </c>
      <c r="P17" s="45"/>
      <c r="Q17" s="9"/>
      <c r="R17" s="9" t="s">
        <v>55</v>
      </c>
      <c r="S17" s="46">
        <f t="shared" si="0"/>
        <v>44713</v>
      </c>
      <c r="T17" s="47">
        <f t="shared" si="0"/>
        <v>44927</v>
      </c>
      <c r="U17" s="46">
        <f t="shared" si="1"/>
        <v>45809</v>
      </c>
      <c r="V17" s="47">
        <f t="shared" si="1"/>
        <v>46023</v>
      </c>
    </row>
    <row r="18" spans="1:22" x14ac:dyDescent="0.2">
      <c r="B18" s="32">
        <v>41030</v>
      </c>
      <c r="C18" s="48">
        <v>1050000</v>
      </c>
      <c r="I18" s="9">
        <v>16</v>
      </c>
      <c r="J18" s="45">
        <v>25812</v>
      </c>
      <c r="K18" s="45">
        <v>26053</v>
      </c>
      <c r="L18" s="9">
        <v>2028</v>
      </c>
      <c r="M18" s="9" t="s">
        <v>66</v>
      </c>
      <c r="N18" s="46">
        <f>DATE(YEAR(J18)+57,MONTH(J18)+9,DAY(J18))</f>
        <v>46905</v>
      </c>
      <c r="O18" s="47">
        <f>DATE(YEAR(K18)+57,MONTH(K18)+9,1)</f>
        <v>47119</v>
      </c>
      <c r="P18" s="45"/>
      <c r="Q18" s="9"/>
      <c r="R18" s="9" t="s">
        <v>55</v>
      </c>
      <c r="S18" s="46">
        <f t="shared" si="0"/>
        <v>45078</v>
      </c>
      <c r="T18" s="47">
        <f t="shared" si="0"/>
        <v>45292</v>
      </c>
      <c r="U18" s="46">
        <f t="shared" si="1"/>
        <v>46174</v>
      </c>
      <c r="V18" s="47">
        <f t="shared" si="1"/>
        <v>46388</v>
      </c>
    </row>
    <row r="19" spans="1:22" x14ac:dyDescent="0.2">
      <c r="B19" s="32">
        <v>41456</v>
      </c>
      <c r="C19" s="48">
        <v>1150000</v>
      </c>
      <c r="I19" s="9">
        <v>17</v>
      </c>
      <c r="J19" s="45">
        <v>26054</v>
      </c>
      <c r="K19" s="45">
        <v>26298</v>
      </c>
      <c r="L19" s="9">
        <v>2029</v>
      </c>
      <c r="M19" s="9" t="s">
        <v>86</v>
      </c>
      <c r="N19" s="46">
        <f>DATE(YEAR(J19)+58,MONTH(J19)+1,DAY(J19))</f>
        <v>47270</v>
      </c>
      <c r="O19" s="47">
        <f>DATE(YEAR(K19)+58,MONTH(K19)+1,1)</f>
        <v>47484</v>
      </c>
      <c r="P19" s="45"/>
      <c r="Q19" s="9"/>
      <c r="R19" s="9" t="s">
        <v>55</v>
      </c>
      <c r="S19" s="46">
        <f t="shared" si="0"/>
        <v>45444</v>
      </c>
      <c r="T19" s="47">
        <f t="shared" si="0"/>
        <v>45658</v>
      </c>
      <c r="U19" s="46">
        <f t="shared" si="1"/>
        <v>46539</v>
      </c>
      <c r="V19" s="47">
        <f t="shared" si="1"/>
        <v>46753</v>
      </c>
    </row>
    <row r="20" spans="1:22" x14ac:dyDescent="0.2">
      <c r="B20" s="32">
        <v>42491</v>
      </c>
      <c r="C20" s="48">
        <v>1210000</v>
      </c>
      <c r="I20" s="9">
        <v>18</v>
      </c>
      <c r="J20" s="45">
        <v>26299</v>
      </c>
      <c r="K20" s="45">
        <v>26542</v>
      </c>
      <c r="L20" s="9">
        <v>2030</v>
      </c>
      <c r="M20" s="9" t="s">
        <v>67</v>
      </c>
      <c r="N20" s="46">
        <f>DATE(YEAR(J20)+58,MONTH(J20)+5,DAY(J20))</f>
        <v>47635</v>
      </c>
      <c r="O20" s="47">
        <f>DATE(YEAR(K20)+58,MONTH(K20)+5,1)</f>
        <v>47849</v>
      </c>
      <c r="P20" s="45"/>
      <c r="Q20" s="9"/>
      <c r="R20" s="9" t="s">
        <v>55</v>
      </c>
      <c r="S20" s="46">
        <f t="shared" ref="S20:T41" si="2">DATE(YEAR(N20)-5,MONTH(N20),DAY(N20))</f>
        <v>45809</v>
      </c>
      <c r="T20" s="47">
        <f t="shared" si="2"/>
        <v>46023</v>
      </c>
      <c r="U20" s="46">
        <f t="shared" si="1"/>
        <v>46905</v>
      </c>
      <c r="V20" s="47">
        <f t="shared" si="1"/>
        <v>47119</v>
      </c>
    </row>
    <row r="21" spans="1:22" x14ac:dyDescent="0.2">
      <c r="B21" s="32">
        <v>42917</v>
      </c>
      <c r="C21" s="48">
        <v>1300000</v>
      </c>
      <c r="I21" s="9">
        <v>19</v>
      </c>
      <c r="J21" s="45">
        <v>26543</v>
      </c>
      <c r="K21" s="45">
        <v>26784</v>
      </c>
      <c r="L21" s="9">
        <v>2031</v>
      </c>
      <c r="M21" s="9" t="s">
        <v>68</v>
      </c>
      <c r="N21" s="46">
        <f>DATE(YEAR(J21)+58,MONTH(J21)+9,DAY(J21))</f>
        <v>48000</v>
      </c>
      <c r="O21" s="47">
        <f>DATE(YEAR(K21)+58,MONTH(K21)+9,1)</f>
        <v>48214</v>
      </c>
      <c r="P21" s="45"/>
      <c r="Q21" s="9"/>
      <c r="R21" s="9" t="s">
        <v>55</v>
      </c>
      <c r="S21" s="46">
        <f t="shared" si="2"/>
        <v>46174</v>
      </c>
      <c r="T21" s="47">
        <f t="shared" si="2"/>
        <v>46388</v>
      </c>
      <c r="U21" s="46">
        <f t="shared" si="1"/>
        <v>47270</v>
      </c>
      <c r="V21" s="47">
        <f t="shared" si="1"/>
        <v>47484</v>
      </c>
    </row>
    <row r="22" spans="1:22" x14ac:dyDescent="0.2">
      <c r="B22" s="32">
        <v>43282</v>
      </c>
      <c r="C22" s="48">
        <v>1390000</v>
      </c>
      <c r="I22" s="9">
        <v>20</v>
      </c>
      <c r="J22" s="45">
        <v>26785</v>
      </c>
      <c r="K22" s="45">
        <v>27029</v>
      </c>
      <c r="L22" s="9">
        <v>2032</v>
      </c>
      <c r="M22" s="9" t="s">
        <v>87</v>
      </c>
      <c r="N22" s="46">
        <f>DATE(YEAR(J22)+59,MONTH(J22)+1,DAY(J22))</f>
        <v>48366</v>
      </c>
      <c r="O22" s="47">
        <f>DATE(YEAR(K22)+59,MONTH(K22)+1,1)</f>
        <v>48580</v>
      </c>
      <c r="P22" s="45"/>
      <c r="Q22" s="9"/>
      <c r="R22" s="9" t="s">
        <v>55</v>
      </c>
      <c r="S22" s="46">
        <f t="shared" si="2"/>
        <v>46539</v>
      </c>
      <c r="T22" s="47">
        <f t="shared" si="2"/>
        <v>46753</v>
      </c>
      <c r="U22" s="46">
        <f t="shared" si="1"/>
        <v>47635</v>
      </c>
      <c r="V22" s="47">
        <f t="shared" si="1"/>
        <v>47849</v>
      </c>
    </row>
    <row r="23" spans="1:22" x14ac:dyDescent="0.2">
      <c r="B23" s="32">
        <v>43647</v>
      </c>
      <c r="C23" s="48">
        <v>1490000</v>
      </c>
      <c r="I23" s="9">
        <v>21</v>
      </c>
      <c r="J23" s="45">
        <v>27030</v>
      </c>
      <c r="K23" s="45">
        <v>27272</v>
      </c>
      <c r="L23" s="9">
        <v>2033</v>
      </c>
      <c r="M23" s="9" t="s">
        <v>69</v>
      </c>
      <c r="N23" s="46">
        <f>DATE(YEAR(J23)+59,MONTH(J23)+5,DAY(J23))</f>
        <v>48731</v>
      </c>
      <c r="O23" s="47">
        <f>DATE(YEAR(K23)+59,MONTH(K23)+5,1)</f>
        <v>48945</v>
      </c>
      <c r="P23" s="45"/>
      <c r="Q23" s="9"/>
      <c r="R23" s="9" t="s">
        <v>55</v>
      </c>
      <c r="S23" s="46">
        <f t="shared" si="2"/>
        <v>46905</v>
      </c>
      <c r="T23" s="47">
        <f t="shared" si="2"/>
        <v>47119</v>
      </c>
      <c r="U23" s="46">
        <f t="shared" si="1"/>
        <v>48000</v>
      </c>
      <c r="V23" s="47">
        <f t="shared" si="1"/>
        <v>48214</v>
      </c>
    </row>
    <row r="24" spans="1:22" x14ac:dyDescent="0.2">
      <c r="B24" s="32">
        <v>45108</v>
      </c>
      <c r="C24" s="48">
        <v>1800000</v>
      </c>
      <c r="I24" s="9">
        <v>22</v>
      </c>
      <c r="J24" s="45">
        <v>27273</v>
      </c>
      <c r="K24" s="45">
        <v>27514</v>
      </c>
      <c r="L24" s="9">
        <v>2034</v>
      </c>
      <c r="M24" s="9" t="s">
        <v>70</v>
      </c>
      <c r="N24" s="46">
        <f>DATE(YEAR(J24)+59,MONTH(J24)+9,DAY(J24))</f>
        <v>49096</v>
      </c>
      <c r="O24" s="47">
        <f>DATE(YEAR(K24)+59,MONTH(K24)+9,1)</f>
        <v>49310</v>
      </c>
      <c r="P24" s="45"/>
      <c r="Q24" s="9"/>
      <c r="R24" s="9" t="s">
        <v>55</v>
      </c>
      <c r="S24" s="46">
        <f t="shared" si="2"/>
        <v>47270</v>
      </c>
      <c r="T24" s="47">
        <f t="shared" si="2"/>
        <v>47484</v>
      </c>
      <c r="U24" s="46">
        <f t="shared" si="1"/>
        <v>48366</v>
      </c>
      <c r="V24" s="47">
        <f t="shared" si="1"/>
        <v>48580</v>
      </c>
    </row>
    <row r="25" spans="1:22" x14ac:dyDescent="0.2">
      <c r="I25" s="9">
        <v>23</v>
      </c>
      <c r="J25" s="45">
        <v>27515</v>
      </c>
      <c r="K25" s="45"/>
      <c r="L25" s="9">
        <v>2035</v>
      </c>
      <c r="M25" s="9" t="s">
        <v>88</v>
      </c>
      <c r="N25" s="46">
        <f>DATE(YEAR(J25)+60,MONTH(J25)+1,DAY(J25))</f>
        <v>49461</v>
      </c>
      <c r="O25" s="39"/>
      <c r="P25" s="9"/>
      <c r="Q25" s="9"/>
      <c r="R25" s="9" t="s">
        <v>55</v>
      </c>
      <c r="S25" s="46">
        <f t="shared" si="2"/>
        <v>47635</v>
      </c>
      <c r="T25" s="47"/>
      <c r="U25" s="46">
        <f t="shared" si="1"/>
        <v>48731</v>
      </c>
      <c r="V25" s="47"/>
    </row>
    <row r="26" spans="1:22" x14ac:dyDescent="0.2">
      <c r="A26" s="1" t="s">
        <v>142</v>
      </c>
      <c r="E26" s="1" t="s">
        <v>143</v>
      </c>
      <c r="I26" s="40">
        <v>24</v>
      </c>
      <c r="J26" s="41">
        <f>DATE(YEAR(J3)+5,MONTH(J3),DAY(J3))</f>
        <v>24108</v>
      </c>
      <c r="K26" s="41">
        <f>DATE(YEAR(K3)+5,MONTH(K3),DAY(K3))</f>
        <v>24380</v>
      </c>
      <c r="L26" s="40">
        <f>L3</f>
        <v>2021</v>
      </c>
      <c r="M26" s="40" t="s">
        <v>71</v>
      </c>
      <c r="N26" s="42">
        <f>N3</f>
        <v>44317</v>
      </c>
      <c r="O26" s="43">
        <f>O3</f>
        <v>44562</v>
      </c>
      <c r="P26" s="40" t="s">
        <v>55</v>
      </c>
      <c r="Q26" s="40" t="s">
        <v>55</v>
      </c>
      <c r="R26" s="40"/>
      <c r="S26" s="42">
        <f t="shared" si="2"/>
        <v>42491</v>
      </c>
      <c r="T26" s="43">
        <f t="shared" si="2"/>
        <v>42736</v>
      </c>
      <c r="U26" s="42">
        <f t="shared" si="1"/>
        <v>43586</v>
      </c>
      <c r="V26" s="43">
        <f t="shared" si="1"/>
        <v>43831</v>
      </c>
    </row>
    <row r="27" spans="1:22" x14ac:dyDescent="0.2">
      <c r="E27" s="2" t="s">
        <v>144</v>
      </c>
      <c r="I27" s="40">
        <v>25</v>
      </c>
      <c r="J27" s="41">
        <f t="shared" ref="J27:K42" si="3">DATE(YEAR(J4)+5,MONTH(J4),DAY(J4))</f>
        <v>24381</v>
      </c>
      <c r="K27" s="41">
        <f t="shared" si="3"/>
        <v>24653</v>
      </c>
      <c r="L27" s="40">
        <f t="shared" ref="L27:L48" si="4">L4</f>
        <v>2022</v>
      </c>
      <c r="M27" s="40" t="s">
        <v>72</v>
      </c>
      <c r="N27" s="42">
        <f t="shared" ref="N27:O42" si="5">N4</f>
        <v>44682</v>
      </c>
      <c r="O27" s="43">
        <f t="shared" si="5"/>
        <v>44927</v>
      </c>
      <c r="P27" s="40" t="s">
        <v>55</v>
      </c>
      <c r="Q27" s="40" t="s">
        <v>55</v>
      </c>
      <c r="R27" s="40"/>
      <c r="S27" s="42">
        <f t="shared" si="2"/>
        <v>42856</v>
      </c>
      <c r="T27" s="43">
        <f t="shared" si="2"/>
        <v>43101</v>
      </c>
      <c r="U27" s="42">
        <f t="shared" si="1"/>
        <v>43952</v>
      </c>
      <c r="V27" s="43">
        <f t="shared" si="1"/>
        <v>44197</v>
      </c>
    </row>
    <row r="28" spans="1:22" x14ac:dyDescent="0.2">
      <c r="A28" s="1" t="s">
        <v>133</v>
      </c>
      <c r="I28" s="40">
        <v>26</v>
      </c>
      <c r="J28" s="41">
        <f t="shared" si="3"/>
        <v>24654</v>
      </c>
      <c r="K28" s="41">
        <f t="shared" si="3"/>
        <v>24928</v>
      </c>
      <c r="L28" s="40">
        <f t="shared" si="4"/>
        <v>2023</v>
      </c>
      <c r="M28" s="40" t="s">
        <v>73</v>
      </c>
      <c r="N28" s="42">
        <f t="shared" si="5"/>
        <v>45047</v>
      </c>
      <c r="O28" s="43">
        <f t="shared" si="5"/>
        <v>45292</v>
      </c>
      <c r="P28" s="40" t="s">
        <v>55</v>
      </c>
      <c r="Q28" s="40" t="s">
        <v>55</v>
      </c>
      <c r="R28" s="40"/>
      <c r="S28" s="42">
        <f t="shared" si="2"/>
        <v>43221</v>
      </c>
      <c r="T28" s="43">
        <f t="shared" si="2"/>
        <v>43466</v>
      </c>
      <c r="U28" s="42">
        <f t="shared" si="1"/>
        <v>44317</v>
      </c>
      <c r="V28" s="43">
        <f t="shared" si="1"/>
        <v>44562</v>
      </c>
    </row>
    <row r="29" spans="1:22" x14ac:dyDescent="0.2">
      <c r="B29" s="1" t="s">
        <v>143</v>
      </c>
      <c r="I29" s="40">
        <v>27</v>
      </c>
      <c r="J29" s="41">
        <f t="shared" si="3"/>
        <v>24929</v>
      </c>
      <c r="K29" s="41">
        <f t="shared" si="3"/>
        <v>25203</v>
      </c>
      <c r="L29" s="40">
        <f t="shared" si="4"/>
        <v>2024</v>
      </c>
      <c r="M29" s="40" t="s">
        <v>84</v>
      </c>
      <c r="N29" s="42">
        <f t="shared" si="5"/>
        <v>45413</v>
      </c>
      <c r="O29" s="43">
        <f t="shared" si="5"/>
        <v>45658</v>
      </c>
      <c r="P29" s="40" t="s">
        <v>55</v>
      </c>
      <c r="Q29" s="40" t="s">
        <v>55</v>
      </c>
      <c r="R29" s="40"/>
      <c r="S29" s="42">
        <f t="shared" si="2"/>
        <v>43586</v>
      </c>
      <c r="T29" s="43">
        <f t="shared" si="2"/>
        <v>43831</v>
      </c>
      <c r="U29" s="42">
        <f t="shared" si="1"/>
        <v>44682</v>
      </c>
      <c r="V29" s="43">
        <f t="shared" si="1"/>
        <v>44927</v>
      </c>
    </row>
    <row r="30" spans="1:22" x14ac:dyDescent="0.2">
      <c r="B30" s="36" t="s">
        <v>145</v>
      </c>
      <c r="I30" s="40">
        <v>28</v>
      </c>
      <c r="J30" s="41">
        <f t="shared" si="3"/>
        <v>25204</v>
      </c>
      <c r="K30" s="41">
        <f t="shared" si="3"/>
        <v>25476</v>
      </c>
      <c r="L30" s="40">
        <f t="shared" si="4"/>
        <v>2025</v>
      </c>
      <c r="M30" s="40" t="s">
        <v>74</v>
      </c>
      <c r="N30" s="42">
        <f t="shared" si="5"/>
        <v>45778</v>
      </c>
      <c r="O30" s="43">
        <f t="shared" si="5"/>
        <v>46023</v>
      </c>
      <c r="P30" s="40" t="s">
        <v>55</v>
      </c>
      <c r="Q30" s="40" t="s">
        <v>55</v>
      </c>
      <c r="R30" s="40"/>
      <c r="S30" s="42">
        <f t="shared" si="2"/>
        <v>43952</v>
      </c>
      <c r="T30" s="43">
        <f t="shared" si="2"/>
        <v>44197</v>
      </c>
      <c r="U30" s="42">
        <f t="shared" si="1"/>
        <v>45047</v>
      </c>
      <c r="V30" s="43">
        <f t="shared" si="1"/>
        <v>45292</v>
      </c>
    </row>
    <row r="31" spans="1:22" x14ac:dyDescent="0.2">
      <c r="B31" s="36" t="s">
        <v>146</v>
      </c>
      <c r="I31" s="40">
        <v>29</v>
      </c>
      <c r="J31" s="41">
        <f t="shared" si="3"/>
        <v>25477</v>
      </c>
      <c r="K31" s="41">
        <f t="shared" si="3"/>
        <v>25749</v>
      </c>
      <c r="L31" s="40">
        <f t="shared" si="4"/>
        <v>2026</v>
      </c>
      <c r="M31" s="40" t="s">
        <v>75</v>
      </c>
      <c r="N31" s="42">
        <f t="shared" si="5"/>
        <v>46143</v>
      </c>
      <c r="O31" s="43">
        <f t="shared" si="5"/>
        <v>46388</v>
      </c>
      <c r="P31" s="40" t="s">
        <v>55</v>
      </c>
      <c r="Q31" s="40" t="s">
        <v>55</v>
      </c>
      <c r="R31" s="40"/>
      <c r="S31" s="42">
        <f t="shared" si="2"/>
        <v>44317</v>
      </c>
      <c r="T31" s="43">
        <f t="shared" si="2"/>
        <v>44562</v>
      </c>
      <c r="U31" s="42">
        <f t="shared" si="1"/>
        <v>45413</v>
      </c>
      <c r="V31" s="43">
        <f t="shared" si="1"/>
        <v>45658</v>
      </c>
    </row>
    <row r="32" spans="1:22" x14ac:dyDescent="0.2">
      <c r="B32" s="1" t="s">
        <v>147</v>
      </c>
      <c r="I32" s="40">
        <v>30</v>
      </c>
      <c r="J32" s="41">
        <f t="shared" si="3"/>
        <v>25750</v>
      </c>
      <c r="K32" s="41">
        <f t="shared" si="3"/>
        <v>26023</v>
      </c>
      <c r="L32" s="40">
        <f t="shared" si="4"/>
        <v>2027</v>
      </c>
      <c r="M32" s="40" t="s">
        <v>76</v>
      </c>
      <c r="N32" s="42">
        <f t="shared" si="5"/>
        <v>46508</v>
      </c>
      <c r="O32" s="43">
        <f t="shared" si="5"/>
        <v>46753</v>
      </c>
      <c r="P32" s="40" t="s">
        <v>55</v>
      </c>
      <c r="Q32" s="40" t="s">
        <v>55</v>
      </c>
      <c r="R32" s="40"/>
      <c r="S32" s="42">
        <f t="shared" si="2"/>
        <v>44682</v>
      </c>
      <c r="T32" s="43">
        <f t="shared" si="2"/>
        <v>44927</v>
      </c>
      <c r="U32" s="42">
        <f t="shared" si="1"/>
        <v>45778</v>
      </c>
      <c r="V32" s="43">
        <f t="shared" si="1"/>
        <v>46023</v>
      </c>
    </row>
    <row r="33" spans="1:22" x14ac:dyDescent="0.2">
      <c r="B33" s="36" t="s">
        <v>148</v>
      </c>
      <c r="I33" s="40">
        <v>31</v>
      </c>
      <c r="J33" s="41">
        <f t="shared" si="3"/>
        <v>26024</v>
      </c>
      <c r="K33" s="41"/>
      <c r="L33" s="40">
        <f t="shared" si="4"/>
        <v>2028</v>
      </c>
      <c r="M33" s="40" t="s">
        <v>85</v>
      </c>
      <c r="N33" s="42">
        <f t="shared" si="5"/>
        <v>46874</v>
      </c>
      <c r="O33" s="43"/>
      <c r="P33" s="40" t="s">
        <v>55</v>
      </c>
      <c r="Q33" s="40" t="s">
        <v>55</v>
      </c>
      <c r="R33" s="40"/>
      <c r="S33" s="42">
        <f t="shared" si="2"/>
        <v>45047</v>
      </c>
      <c r="T33" s="43"/>
      <c r="U33" s="42">
        <f t="shared" si="1"/>
        <v>46143</v>
      </c>
      <c r="V33" s="43"/>
    </row>
    <row r="34" spans="1:22" x14ac:dyDescent="0.2">
      <c r="B34" s="36" t="s">
        <v>149</v>
      </c>
      <c r="I34" s="9">
        <v>32</v>
      </c>
      <c r="J34" s="45">
        <f t="shared" si="3"/>
        <v>25934</v>
      </c>
      <c r="K34" s="45">
        <f t="shared" si="3"/>
        <v>26176</v>
      </c>
      <c r="L34" s="9">
        <f t="shared" si="4"/>
        <v>2021</v>
      </c>
      <c r="M34" s="9" t="str">
        <f>(LEFT(M11,2)-5)&amp;(RIGHT(M11,LEN(M11)-2))</f>
        <v>50 tuổi 04 tháng</v>
      </c>
      <c r="N34" s="46">
        <f t="shared" si="5"/>
        <v>44348</v>
      </c>
      <c r="O34" s="47">
        <f t="shared" si="5"/>
        <v>44562</v>
      </c>
      <c r="P34" s="9" t="s">
        <v>55</v>
      </c>
      <c r="Q34" s="9"/>
      <c r="R34" s="9" t="s">
        <v>55</v>
      </c>
      <c r="S34" s="46">
        <f t="shared" si="2"/>
        <v>42522</v>
      </c>
      <c r="T34" s="47">
        <f t="shared" si="2"/>
        <v>42736</v>
      </c>
      <c r="U34" s="46">
        <f t="shared" si="1"/>
        <v>43617</v>
      </c>
      <c r="V34" s="47">
        <f t="shared" si="1"/>
        <v>43831</v>
      </c>
    </row>
    <row r="35" spans="1:22" x14ac:dyDescent="0.2">
      <c r="B35" s="36" t="s">
        <v>150</v>
      </c>
      <c r="I35" s="9">
        <v>33</v>
      </c>
      <c r="J35" s="45">
        <f t="shared" si="3"/>
        <v>26177</v>
      </c>
      <c r="K35" s="45">
        <f t="shared" si="3"/>
        <v>26419</v>
      </c>
      <c r="L35" s="9">
        <f t="shared" si="4"/>
        <v>2022</v>
      </c>
      <c r="M35" s="9" t="str">
        <f t="shared" ref="M35:M48" si="6">(LEFT(M12,2)-5)&amp;(RIGHT(M12,LEN(M12)-2))</f>
        <v>50 tuổi 08 tháng</v>
      </c>
      <c r="N35" s="46">
        <f t="shared" si="5"/>
        <v>44713</v>
      </c>
      <c r="O35" s="47">
        <f t="shared" si="5"/>
        <v>44927</v>
      </c>
      <c r="P35" s="9" t="s">
        <v>55</v>
      </c>
      <c r="Q35" s="9"/>
      <c r="R35" s="9" t="s">
        <v>55</v>
      </c>
      <c r="S35" s="46">
        <f t="shared" si="2"/>
        <v>42887</v>
      </c>
      <c r="T35" s="47">
        <f t="shared" si="2"/>
        <v>43101</v>
      </c>
      <c r="U35" s="46">
        <f t="shared" si="1"/>
        <v>43983</v>
      </c>
      <c r="V35" s="47">
        <f t="shared" si="1"/>
        <v>44197</v>
      </c>
    </row>
    <row r="36" spans="1:22" x14ac:dyDescent="0.2">
      <c r="B36" s="36" t="s">
        <v>151</v>
      </c>
      <c r="I36" s="9">
        <v>34</v>
      </c>
      <c r="J36" s="45">
        <f t="shared" si="3"/>
        <v>26420</v>
      </c>
      <c r="K36" s="45">
        <f t="shared" si="3"/>
        <v>26664</v>
      </c>
      <c r="L36" s="9">
        <f t="shared" si="4"/>
        <v>2023</v>
      </c>
      <c r="M36" s="9" t="str">
        <f t="shared" si="6"/>
        <v>51 tuổi 0 tháng</v>
      </c>
      <c r="N36" s="46">
        <f t="shared" si="5"/>
        <v>45078</v>
      </c>
      <c r="O36" s="47">
        <f t="shared" si="5"/>
        <v>45292</v>
      </c>
      <c r="P36" s="9" t="s">
        <v>55</v>
      </c>
      <c r="Q36" s="9"/>
      <c r="R36" s="9" t="s">
        <v>55</v>
      </c>
      <c r="S36" s="46">
        <f t="shared" si="2"/>
        <v>43252</v>
      </c>
      <c r="T36" s="47">
        <f t="shared" si="2"/>
        <v>43466</v>
      </c>
      <c r="U36" s="46">
        <f t="shared" si="1"/>
        <v>44348</v>
      </c>
      <c r="V36" s="47">
        <f t="shared" si="1"/>
        <v>44562</v>
      </c>
    </row>
    <row r="37" spans="1:22" x14ac:dyDescent="0.2">
      <c r="B37" s="36" t="s">
        <v>152</v>
      </c>
      <c r="I37" s="9">
        <v>35</v>
      </c>
      <c r="J37" s="45">
        <f t="shared" si="3"/>
        <v>26665</v>
      </c>
      <c r="K37" s="45">
        <f t="shared" si="3"/>
        <v>26907</v>
      </c>
      <c r="L37" s="9">
        <f t="shared" si="4"/>
        <v>2024</v>
      </c>
      <c r="M37" s="9" t="str">
        <f t="shared" si="6"/>
        <v>51 tuổi 04 tháng</v>
      </c>
      <c r="N37" s="46">
        <f t="shared" si="5"/>
        <v>45444</v>
      </c>
      <c r="O37" s="47">
        <f t="shared" si="5"/>
        <v>45658</v>
      </c>
      <c r="P37" s="9" t="s">
        <v>55</v>
      </c>
      <c r="Q37" s="9"/>
      <c r="R37" s="9" t="s">
        <v>55</v>
      </c>
      <c r="S37" s="46">
        <f t="shared" si="2"/>
        <v>43617</v>
      </c>
      <c r="T37" s="47">
        <f t="shared" si="2"/>
        <v>43831</v>
      </c>
      <c r="U37" s="46">
        <f t="shared" si="1"/>
        <v>44713</v>
      </c>
      <c r="V37" s="47">
        <f t="shared" si="1"/>
        <v>44927</v>
      </c>
    </row>
    <row r="38" spans="1:22" x14ac:dyDescent="0.2">
      <c r="B38" s="36" t="s">
        <v>153</v>
      </c>
      <c r="I38" s="9">
        <v>36</v>
      </c>
      <c r="J38" s="45">
        <f t="shared" si="3"/>
        <v>26908</v>
      </c>
      <c r="K38" s="45">
        <f t="shared" si="3"/>
        <v>27149</v>
      </c>
      <c r="L38" s="9">
        <f t="shared" si="4"/>
        <v>2025</v>
      </c>
      <c r="M38" s="9" t="str">
        <f t="shared" si="6"/>
        <v>51 tuổi 08 tháng</v>
      </c>
      <c r="N38" s="46">
        <f t="shared" si="5"/>
        <v>45809</v>
      </c>
      <c r="O38" s="47">
        <f t="shared" si="5"/>
        <v>46023</v>
      </c>
      <c r="P38" s="9" t="s">
        <v>55</v>
      </c>
      <c r="Q38" s="9"/>
      <c r="R38" s="9" t="s">
        <v>55</v>
      </c>
      <c r="S38" s="46">
        <f t="shared" si="2"/>
        <v>43983</v>
      </c>
      <c r="T38" s="47">
        <f t="shared" si="2"/>
        <v>44197</v>
      </c>
      <c r="U38" s="46">
        <f t="shared" si="1"/>
        <v>45078</v>
      </c>
      <c r="V38" s="47">
        <f t="shared" si="1"/>
        <v>45292</v>
      </c>
    </row>
    <row r="39" spans="1:22" x14ac:dyDescent="0.2">
      <c r="B39" s="36" t="s">
        <v>154</v>
      </c>
      <c r="I39" s="9">
        <v>37</v>
      </c>
      <c r="J39" s="45">
        <f t="shared" si="3"/>
        <v>27150</v>
      </c>
      <c r="K39" s="45">
        <f t="shared" si="3"/>
        <v>27394</v>
      </c>
      <c r="L39" s="9">
        <f t="shared" si="4"/>
        <v>2026</v>
      </c>
      <c r="M39" s="9" t="str">
        <f t="shared" si="6"/>
        <v>52 tuổi 0 tháng</v>
      </c>
      <c r="N39" s="46">
        <f t="shared" si="5"/>
        <v>46174</v>
      </c>
      <c r="O39" s="47">
        <f t="shared" si="5"/>
        <v>46388</v>
      </c>
      <c r="P39" s="9" t="s">
        <v>55</v>
      </c>
      <c r="Q39" s="9"/>
      <c r="R39" s="9" t="s">
        <v>55</v>
      </c>
      <c r="S39" s="46">
        <f t="shared" si="2"/>
        <v>44348</v>
      </c>
      <c r="T39" s="47">
        <f t="shared" si="2"/>
        <v>44562</v>
      </c>
      <c r="U39" s="46">
        <f t="shared" si="1"/>
        <v>45444</v>
      </c>
      <c r="V39" s="47">
        <f t="shared" si="1"/>
        <v>45658</v>
      </c>
    </row>
    <row r="40" spans="1:22" x14ac:dyDescent="0.2">
      <c r="B40" s="36" t="s">
        <v>155</v>
      </c>
      <c r="I40" s="9">
        <v>38</v>
      </c>
      <c r="J40" s="45">
        <f t="shared" si="3"/>
        <v>27395</v>
      </c>
      <c r="K40" s="45">
        <f t="shared" si="3"/>
        <v>27637</v>
      </c>
      <c r="L40" s="9">
        <f t="shared" si="4"/>
        <v>2027</v>
      </c>
      <c r="M40" s="9" t="str">
        <f t="shared" si="6"/>
        <v>52 tuổi 04 tháng</v>
      </c>
      <c r="N40" s="46">
        <f t="shared" si="5"/>
        <v>46539</v>
      </c>
      <c r="O40" s="47">
        <f t="shared" si="5"/>
        <v>46753</v>
      </c>
      <c r="P40" s="9" t="s">
        <v>55</v>
      </c>
      <c r="Q40" s="9"/>
      <c r="R40" s="9" t="s">
        <v>55</v>
      </c>
      <c r="S40" s="46">
        <f t="shared" si="2"/>
        <v>44713</v>
      </c>
      <c r="T40" s="47">
        <f t="shared" si="2"/>
        <v>44927</v>
      </c>
      <c r="U40" s="46">
        <f t="shared" si="1"/>
        <v>45809</v>
      </c>
      <c r="V40" s="47">
        <f t="shared" si="1"/>
        <v>46023</v>
      </c>
    </row>
    <row r="41" spans="1:22" x14ac:dyDescent="0.2">
      <c r="B41" s="36" t="s">
        <v>156</v>
      </c>
      <c r="I41" s="9">
        <v>39</v>
      </c>
      <c r="J41" s="45">
        <f t="shared" si="3"/>
        <v>27638</v>
      </c>
      <c r="K41" s="45">
        <f t="shared" si="3"/>
        <v>27880</v>
      </c>
      <c r="L41" s="9">
        <f t="shared" si="4"/>
        <v>2028</v>
      </c>
      <c r="M41" s="9" t="str">
        <f t="shared" si="6"/>
        <v>52 tuổi 08 tháng</v>
      </c>
      <c r="N41" s="46">
        <f t="shared" si="5"/>
        <v>46905</v>
      </c>
      <c r="O41" s="47">
        <f t="shared" si="5"/>
        <v>47119</v>
      </c>
      <c r="P41" s="9" t="s">
        <v>55</v>
      </c>
      <c r="Q41" s="9"/>
      <c r="R41" s="9" t="s">
        <v>55</v>
      </c>
      <c r="S41" s="46">
        <f t="shared" si="2"/>
        <v>45078</v>
      </c>
      <c r="T41" s="47">
        <f t="shared" si="2"/>
        <v>45292</v>
      </c>
      <c r="U41" s="46">
        <f t="shared" si="1"/>
        <v>46174</v>
      </c>
      <c r="V41" s="47">
        <f t="shared" si="1"/>
        <v>46388</v>
      </c>
    </row>
    <row r="42" spans="1:22" x14ac:dyDescent="0.2">
      <c r="B42" s="36" t="s">
        <v>157</v>
      </c>
      <c r="I42" s="9">
        <v>40</v>
      </c>
      <c r="J42" s="45">
        <f t="shared" si="3"/>
        <v>27881</v>
      </c>
      <c r="K42" s="45">
        <f t="shared" si="3"/>
        <v>28125</v>
      </c>
      <c r="L42" s="9">
        <f t="shared" si="4"/>
        <v>2029</v>
      </c>
      <c r="M42" s="9" t="str">
        <f t="shared" si="6"/>
        <v>53 tuổi 0 tháng</v>
      </c>
      <c r="N42" s="46">
        <f t="shared" si="5"/>
        <v>47270</v>
      </c>
      <c r="O42" s="47">
        <f t="shared" si="5"/>
        <v>47484</v>
      </c>
      <c r="P42" s="9" t="s">
        <v>55</v>
      </c>
      <c r="Q42" s="9"/>
      <c r="R42" s="9" t="s">
        <v>55</v>
      </c>
      <c r="S42" s="46">
        <f t="shared" ref="S42:T48" si="7">DATE(YEAR(N42)-5,MONTH(N42),DAY(N42))</f>
        <v>45444</v>
      </c>
      <c r="T42" s="47">
        <f t="shared" si="7"/>
        <v>45658</v>
      </c>
      <c r="U42" s="46">
        <f t="shared" si="1"/>
        <v>46539</v>
      </c>
      <c r="V42" s="47">
        <f t="shared" si="1"/>
        <v>46753</v>
      </c>
    </row>
    <row r="43" spans="1:22" x14ac:dyDescent="0.2">
      <c r="B43" s="36" t="s">
        <v>158</v>
      </c>
      <c r="I43" s="9">
        <v>41</v>
      </c>
      <c r="J43" s="45">
        <f t="shared" ref="J43:K48" si="8">DATE(YEAR(J20)+5,MONTH(J20),DAY(J20))</f>
        <v>28126</v>
      </c>
      <c r="K43" s="45">
        <f t="shared" si="8"/>
        <v>28368</v>
      </c>
      <c r="L43" s="9">
        <f t="shared" si="4"/>
        <v>2030</v>
      </c>
      <c r="M43" s="9" t="str">
        <f t="shared" si="6"/>
        <v>53 tuổi 04 tháng</v>
      </c>
      <c r="N43" s="46">
        <f t="shared" ref="N43:O48" si="9">N20</f>
        <v>47635</v>
      </c>
      <c r="O43" s="47">
        <f t="shared" si="9"/>
        <v>47849</v>
      </c>
      <c r="P43" s="9" t="s">
        <v>55</v>
      </c>
      <c r="Q43" s="9"/>
      <c r="R43" s="9" t="s">
        <v>55</v>
      </c>
      <c r="S43" s="46">
        <f t="shared" si="7"/>
        <v>45809</v>
      </c>
      <c r="T43" s="47">
        <f t="shared" si="7"/>
        <v>46023</v>
      </c>
      <c r="U43" s="46">
        <f t="shared" si="1"/>
        <v>46905</v>
      </c>
      <c r="V43" s="47">
        <f t="shared" si="1"/>
        <v>47119</v>
      </c>
    </row>
    <row r="44" spans="1:22" x14ac:dyDescent="0.2">
      <c r="B44" s="36" t="s">
        <v>159</v>
      </c>
      <c r="I44" s="9">
        <v>42</v>
      </c>
      <c r="J44" s="45">
        <f t="shared" si="8"/>
        <v>28369</v>
      </c>
      <c r="K44" s="45">
        <f t="shared" si="8"/>
        <v>28610</v>
      </c>
      <c r="L44" s="9">
        <f t="shared" si="4"/>
        <v>2031</v>
      </c>
      <c r="M44" s="9" t="str">
        <f t="shared" si="6"/>
        <v>53 tuổi 08 tháng</v>
      </c>
      <c r="N44" s="46">
        <f t="shared" si="9"/>
        <v>48000</v>
      </c>
      <c r="O44" s="47">
        <f t="shared" si="9"/>
        <v>48214</v>
      </c>
      <c r="P44" s="9" t="s">
        <v>55</v>
      </c>
      <c r="Q44" s="9"/>
      <c r="R44" s="9" t="s">
        <v>55</v>
      </c>
      <c r="S44" s="46">
        <f t="shared" si="7"/>
        <v>46174</v>
      </c>
      <c r="T44" s="47">
        <f t="shared" si="7"/>
        <v>46388</v>
      </c>
      <c r="U44" s="46">
        <f t="shared" si="1"/>
        <v>47270</v>
      </c>
      <c r="V44" s="47">
        <f t="shared" si="1"/>
        <v>47484</v>
      </c>
    </row>
    <row r="45" spans="1:22" x14ac:dyDescent="0.2">
      <c r="I45" s="9">
        <v>43</v>
      </c>
      <c r="J45" s="45">
        <f t="shared" si="8"/>
        <v>28611</v>
      </c>
      <c r="K45" s="45">
        <f t="shared" si="8"/>
        <v>28855</v>
      </c>
      <c r="L45" s="9">
        <f t="shared" si="4"/>
        <v>2032</v>
      </c>
      <c r="M45" s="9" t="str">
        <f t="shared" si="6"/>
        <v>54 tuổi 0 tháng</v>
      </c>
      <c r="N45" s="46">
        <f t="shared" si="9"/>
        <v>48366</v>
      </c>
      <c r="O45" s="47">
        <f t="shared" si="9"/>
        <v>48580</v>
      </c>
      <c r="P45" s="9" t="s">
        <v>55</v>
      </c>
      <c r="Q45" s="9"/>
      <c r="R45" s="9" t="s">
        <v>55</v>
      </c>
      <c r="S45" s="46">
        <f t="shared" si="7"/>
        <v>46539</v>
      </c>
      <c r="T45" s="47">
        <f t="shared" si="7"/>
        <v>46753</v>
      </c>
      <c r="U45" s="46">
        <f t="shared" si="1"/>
        <v>47635</v>
      </c>
      <c r="V45" s="47">
        <f t="shared" si="1"/>
        <v>47849</v>
      </c>
    </row>
    <row r="46" spans="1:22" x14ac:dyDescent="0.2">
      <c r="A46" s="1" t="s">
        <v>169</v>
      </c>
      <c r="B46" s="36" t="s">
        <v>143</v>
      </c>
      <c r="D46" s="1" t="s">
        <v>173</v>
      </c>
      <c r="E46" s="1" t="s">
        <v>143</v>
      </c>
      <c r="I46" s="9">
        <v>44</v>
      </c>
      <c r="J46" s="45">
        <f t="shared" si="8"/>
        <v>28856</v>
      </c>
      <c r="K46" s="45">
        <f t="shared" si="8"/>
        <v>29098</v>
      </c>
      <c r="L46" s="9">
        <f t="shared" si="4"/>
        <v>2033</v>
      </c>
      <c r="M46" s="9" t="str">
        <f t="shared" si="6"/>
        <v>54 tuổi 04 tháng</v>
      </c>
      <c r="N46" s="46">
        <f t="shared" si="9"/>
        <v>48731</v>
      </c>
      <c r="O46" s="47">
        <f t="shared" si="9"/>
        <v>48945</v>
      </c>
      <c r="P46" s="9" t="s">
        <v>55</v>
      </c>
      <c r="Q46" s="9"/>
      <c r="R46" s="9" t="s">
        <v>55</v>
      </c>
      <c r="S46" s="46">
        <f t="shared" si="7"/>
        <v>46905</v>
      </c>
      <c r="T46" s="47">
        <f t="shared" si="7"/>
        <v>47119</v>
      </c>
      <c r="U46" s="46">
        <f t="shared" si="1"/>
        <v>48000</v>
      </c>
      <c r="V46" s="47">
        <f t="shared" si="1"/>
        <v>48214</v>
      </c>
    </row>
    <row r="47" spans="1:22" x14ac:dyDescent="0.2">
      <c r="B47" s="36" t="s">
        <v>170</v>
      </c>
      <c r="E47" s="37" t="s">
        <v>174</v>
      </c>
      <c r="I47" s="9">
        <v>45</v>
      </c>
      <c r="J47" s="45">
        <f t="shared" si="8"/>
        <v>29099</v>
      </c>
      <c r="K47" s="45">
        <f t="shared" si="8"/>
        <v>29341</v>
      </c>
      <c r="L47" s="9">
        <f t="shared" si="4"/>
        <v>2034</v>
      </c>
      <c r="M47" s="9" t="str">
        <f t="shared" si="6"/>
        <v>54 tuổi 08 tháng</v>
      </c>
      <c r="N47" s="46">
        <f t="shared" si="9"/>
        <v>49096</v>
      </c>
      <c r="O47" s="47">
        <f t="shared" si="9"/>
        <v>49310</v>
      </c>
      <c r="P47" s="9" t="s">
        <v>55</v>
      </c>
      <c r="Q47" s="9"/>
      <c r="R47" s="9" t="s">
        <v>55</v>
      </c>
      <c r="S47" s="46">
        <f t="shared" si="7"/>
        <v>47270</v>
      </c>
      <c r="T47" s="47">
        <f t="shared" si="7"/>
        <v>47484</v>
      </c>
      <c r="U47" s="46">
        <f t="shared" si="1"/>
        <v>48366</v>
      </c>
      <c r="V47" s="47">
        <f t="shared" si="1"/>
        <v>48580</v>
      </c>
    </row>
    <row r="48" spans="1:22" x14ac:dyDescent="0.2">
      <c r="B48" s="36" t="s">
        <v>171</v>
      </c>
      <c r="E48" s="37" t="s">
        <v>175</v>
      </c>
      <c r="I48" s="9">
        <v>46</v>
      </c>
      <c r="J48" s="45">
        <f t="shared" si="8"/>
        <v>29342</v>
      </c>
      <c r="K48" s="45"/>
      <c r="L48" s="9">
        <f t="shared" si="4"/>
        <v>2035</v>
      </c>
      <c r="M48" s="9" t="str">
        <f t="shared" si="6"/>
        <v>55 tuổi 0 tháng</v>
      </c>
      <c r="N48" s="46">
        <f t="shared" si="9"/>
        <v>49461</v>
      </c>
      <c r="O48" s="39"/>
      <c r="P48" s="9" t="s">
        <v>55</v>
      </c>
      <c r="Q48" s="9"/>
      <c r="R48" s="9" t="s">
        <v>55</v>
      </c>
      <c r="S48" s="46">
        <f t="shared" si="7"/>
        <v>47635</v>
      </c>
      <c r="T48" s="47"/>
      <c r="U48" s="46">
        <f t="shared" si="1"/>
        <v>48731</v>
      </c>
      <c r="V48" s="47"/>
    </row>
    <row r="49" spans="5:5" x14ac:dyDescent="0.2">
      <c r="E49" s="37" t="s">
        <v>176</v>
      </c>
    </row>
    <row r="50" spans="5:5" x14ac:dyDescent="0.2">
      <c r="E50" s="37" t="s">
        <v>177</v>
      </c>
    </row>
    <row r="51" spans="5:5" x14ac:dyDescent="0.2">
      <c r="E51" s="37" t="s">
        <v>178</v>
      </c>
    </row>
    <row r="52" spans="5:5" x14ac:dyDescent="0.2">
      <c r="E52" s="37" t="s">
        <v>179</v>
      </c>
    </row>
    <row r="53" spans="5:5" x14ac:dyDescent="0.2">
      <c r="E53" s="1" t="s">
        <v>180</v>
      </c>
    </row>
  </sheetData>
  <sheetProtection password="E029" sheet="1" objects="1" scenarios="1"/>
  <mergeCells count="4">
    <mergeCell ref="J1:K1"/>
    <mergeCell ref="N1:O1"/>
    <mergeCell ref="Q1:R1"/>
    <mergeCell ref="S1:V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CB,CC</vt:lpstr>
      <vt:lpstr>Dữ liệu nền</vt:lpstr>
      <vt:lpstr>'Dữ liệu nền'!dc_1</vt:lpstr>
      <vt:lpstr>'Dữ liệu nền'!dc_2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Yen Thanh</dc:creator>
  <cp:lastModifiedBy>Châu Vĩnh Cường</cp:lastModifiedBy>
  <cp:lastPrinted>2023-06-08T07:20:59Z</cp:lastPrinted>
  <dcterms:created xsi:type="dcterms:W3CDTF">2023-06-08T07:20:42Z</dcterms:created>
  <dcterms:modified xsi:type="dcterms:W3CDTF">2023-11-24T01:42:16Z</dcterms:modified>
</cp:coreProperties>
</file>